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elwood.nist.gov\680\NIST_Projects\OWM\Lab_Prgm\Training Prgm\213 Volume Seminar\Vol Spreadsheets 2023\"/>
    </mc:Choice>
  </mc:AlternateContent>
  <xr:revisionPtr revIDLastSave="0" documentId="13_ncr:11_{58BD09EF-39E0-475F-BAE3-8025C6957A1F}" xr6:coauthVersionLast="47" xr6:coauthVersionMax="47" xr10:uidLastSave="{00000000-0000-0000-0000-000000000000}"/>
  <bookViews>
    <workbookView xWindow="28680" yWindow="-120" windowWidth="29040" windowHeight="15720" activeTab="3" xr2:uid="{00000000-000D-0000-FFFF-FFFF00000000}"/>
  </bookViews>
  <sheets>
    <sheet name="Software Technical Assessment" sheetId="10" r:id="rId1"/>
    <sheet name="DCT (WAMRF-003)" sheetId="13" r:id="rId2"/>
    <sheet name="Information" sheetId="9" r:id="rId3"/>
    <sheet name="SOP 31" sheetId="12" r:id="rId4"/>
    <sheet name="Data Entry" sheetId="1" r:id="rId5"/>
    <sheet name="Uncertainty Analysis" sheetId="11" r:id="rId6"/>
    <sheet name="Lists" sheetId="6" r:id="rId7"/>
  </sheets>
  <externalReferences>
    <externalReference r:id="rId8"/>
    <externalReference r:id="rId9"/>
    <externalReference r:id="rId10"/>
  </externalReferences>
  <definedNames>
    <definedName name="__123Graph_A" hidden="1">[1]H145LPG!$I$99:$I$118</definedName>
    <definedName name="__123Graph_B" hidden="1">[1]H145LPG!$J$99:$J$118</definedName>
    <definedName name="__123Graph_LBL_A" hidden="1">[1]H145LPG!$I$120:$I$120</definedName>
    <definedName name="__123Graph_LBL_B" hidden="1">[1]H145LPG!$J$120:$J$120</definedName>
    <definedName name="__123Graph_X" hidden="1">[1]H145LPG!$G$99:$G$118</definedName>
    <definedName name="_Fill" hidden="1">[1]H145LPG!$F$67:$F$73</definedName>
    <definedName name="_xlnm._FilterDatabase" localSheetId="2" hidden="1">Information!$A$8:$B$35</definedName>
    <definedName name="_xlnm._FilterDatabase" localSheetId="0" hidden="1">'Software Technical Assessment'!$C$5:$C$5</definedName>
    <definedName name="_Table1_In1" localSheetId="1" hidden="1">#REF!</definedName>
    <definedName name="_Table1_In1" localSheetId="2" hidden="1">'[2]2 Liter'!$B$33</definedName>
    <definedName name="_Table1_In1" localSheetId="0" hidden="1">'[2]2 Liter'!$B$33</definedName>
    <definedName name="_Table1_In1" localSheetId="3" hidden="1">#REF!</definedName>
    <definedName name="_Table1_In1" localSheetId="5" hidden="1">'[2]2 Liter'!$B$33</definedName>
    <definedName name="_Table1_In1" hidden="1">#REF!</definedName>
    <definedName name="_Table1_Out" localSheetId="1" hidden="1">#REF!</definedName>
    <definedName name="_Table1_Out" localSheetId="2" hidden="1">'[2]2 Liter'!$B$33</definedName>
    <definedName name="_Table1_Out" localSheetId="0" hidden="1">'[2]2 Liter'!$B$33</definedName>
    <definedName name="_Table1_Out" localSheetId="3" hidden="1">#REF!</definedName>
    <definedName name="_Table1_Out" localSheetId="5" hidden="1">'[2]2 Liter'!$B$33</definedName>
    <definedName name="_Table1_Out" hidden="1">#REF!</definedName>
    <definedName name="_Table2_In1" localSheetId="2" hidden="1">'[2]2 Liter'!$B$33</definedName>
    <definedName name="_Table2_In1" localSheetId="0" hidden="1">'[2]2 Liter'!$B$33</definedName>
    <definedName name="_Table2_In1" localSheetId="5" hidden="1">'[2]2 Liter'!$B$33</definedName>
    <definedName name="_Table2_In1" hidden="1">'[3]2 Liter'!$B$33</definedName>
    <definedName name="_Table2_Out" localSheetId="2" hidden="1">'[2]2 Liter'!$B$33</definedName>
    <definedName name="_Table2_Out" localSheetId="0" hidden="1">'[2]2 Liter'!$B$33</definedName>
    <definedName name="_Table2_Out" localSheetId="5" hidden="1">'[2]2 Liter'!$B$33</definedName>
    <definedName name="_Table2_Out" hidden="1">'[3]2 Liter'!$B$33</definedName>
    <definedName name="CertNo">'Data Entry'!$J$1</definedName>
    <definedName name="CustomerID">'Data Entry'!$L$5</definedName>
    <definedName name="DateReceived">'Data Entry'!$K$11</definedName>
    <definedName name="Drops">'Data Entry'!$L$30</definedName>
    <definedName name="Intervals">'Data Entry'!$L$21</definedName>
    <definedName name="LPG_gal">Lists!$M$4:$Q$10</definedName>
    <definedName name="LPG_L">Lists!$M$13:$P$17</definedName>
    <definedName name="NC_Tol">'Data Entry'!$H$42</definedName>
    <definedName name="NeckUnit.List">Lists!$A$5:$C$8</definedName>
    <definedName name="NomVol">'Data Entry'!$D$14</definedName>
    <definedName name="NomVolUnit">'Data Entry'!$H$14</definedName>
    <definedName name="NSCF">'Data Entry'!$H$66</definedName>
    <definedName name="NU_Tol">'Data Entry'!$K$42</definedName>
    <definedName name="_xlnm.Print_Area" localSheetId="4">'Data Entry'!$A$1:$L$97</definedName>
    <definedName name="_xlnm.Print_Area" localSheetId="0">'Software Technical Assessment'!$A$1:$D$49</definedName>
    <definedName name="_xlnm.Print_Titles" localSheetId="1">'DCT (WAMRF-003)'!$1:$3</definedName>
    <definedName name="_xlnm.Print_Titles" localSheetId="2">Information!$7:$8</definedName>
    <definedName name="_xlnm.Print_Titles" localSheetId="0">'Software Technical Assessment'!$1:$5</definedName>
    <definedName name="_xlnm.Print_Titles" localSheetId="5">'Uncertainty Analysis'!$1:$2</definedName>
    <definedName name="Prover_gal">Lists!$E$4:$K$14</definedName>
    <definedName name="Prover_L">Lists!$E$17:$I$28</definedName>
    <definedName name="RefTemp">Lists!$S$3:$S$4</definedName>
    <definedName name="RefTempUnit">'Data Entry'!$A$27</definedName>
    <definedName name="ScaleGradUnit">'Data Entry'!$D$15</definedName>
    <definedName name="Spec">'Data Entry'!$K$13</definedName>
    <definedName name="sr_f4">'Data Entry'!$E$46</definedName>
    <definedName name="sr_f6">'Data Entry'!$E$48</definedName>
    <definedName name="sr_i">'Data Entry'!$E$42</definedName>
    <definedName name="Std_df">'Data Entry'!$H$31</definedName>
    <definedName name="Std_k">'Data Entry'!$E$31</definedName>
    <definedName name="StdU">'Data Entry'!$C$31</definedName>
    <definedName name="StdVol">'Data Entry'!$H$30</definedName>
    <definedName name="TestDate">'Data Entry'!$D$24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1" l="1"/>
  <c r="D65" i="11"/>
  <c r="F62" i="11"/>
  <c r="J62" i="11"/>
  <c r="E65" i="11"/>
  <c r="E64" i="11"/>
  <c r="E63" i="11"/>
  <c r="L70" i="11"/>
  <c r="L69" i="11"/>
  <c r="L66" i="11"/>
  <c r="A69" i="1" l="1"/>
  <c r="H66" i="1"/>
  <c r="E55" i="1"/>
  <c r="F48" i="1"/>
  <c r="F47" i="1"/>
  <c r="F46" i="1"/>
  <c r="F45" i="1"/>
  <c r="F44" i="1"/>
  <c r="F43" i="1"/>
  <c r="I31" i="1" l="1"/>
  <c r="A31" i="1" l="1"/>
  <c r="D30" i="1"/>
  <c r="A23" i="1" l="1"/>
  <c r="A59" i="1" l="1"/>
  <c r="D56" i="1"/>
  <c r="E56" i="1"/>
  <c r="F56" i="1" s="1"/>
  <c r="D57" i="1"/>
  <c r="E57" i="1"/>
  <c r="F57" i="1" s="1"/>
  <c r="D58" i="1"/>
  <c r="E58" i="1"/>
  <c r="F58" i="1" s="1"/>
  <c r="D59" i="1"/>
  <c r="E59" i="1"/>
  <c r="F59" i="1" s="1"/>
  <c r="D60" i="1"/>
  <c r="E60" i="1"/>
  <c r="F60" i="1" s="1"/>
  <c r="D61" i="1"/>
  <c r="E61" i="1"/>
  <c r="F61" i="1" s="1"/>
  <c r="A46" i="1"/>
  <c r="A19" i="1"/>
  <c r="A16" i="1"/>
  <c r="A20" i="1"/>
  <c r="L58" i="11" l="1"/>
  <c r="G58" i="11"/>
  <c r="K31" i="1" l="1"/>
  <c r="H55" i="1" l="1"/>
  <c r="F54" i="1"/>
  <c r="E54" i="1"/>
  <c r="D54" i="1"/>
  <c r="A63" i="1"/>
  <c r="A52" i="1" l="1"/>
  <c r="J48" i="1"/>
  <c r="J47" i="1"/>
  <c r="J44" i="1"/>
  <c r="J45" i="1"/>
  <c r="J46" i="1"/>
  <c r="J43" i="1"/>
  <c r="A50" i="1" l="1"/>
  <c r="I14" i="1" l="1"/>
  <c r="L60" i="11"/>
  <c r="I20" i="1" l="1"/>
  <c r="J41" i="1"/>
  <c r="D41" i="1"/>
  <c r="A17" i="1"/>
  <c r="I16" i="1" s="1"/>
  <c r="A18" i="1"/>
  <c r="I17" i="1" s="1"/>
  <c r="I18" i="1"/>
  <c r="I19" i="1"/>
  <c r="N4" i="6"/>
  <c r="N5" i="6"/>
  <c r="N6" i="6"/>
  <c r="N7" i="6"/>
  <c r="N8" i="6"/>
  <c r="N9" i="6"/>
  <c r="N10" i="6"/>
  <c r="C20" i="1"/>
  <c r="C17" i="1"/>
  <c r="A36" i="1" l="1"/>
  <c r="A35" i="1"/>
  <c r="D63" i="11" l="1"/>
  <c r="H23" i="1" l="1"/>
  <c r="C16" i="1"/>
  <c r="S4" i="6" l="1"/>
  <c r="S3" i="6"/>
  <c r="H42" i="1"/>
  <c r="H54" i="1" s="1"/>
  <c r="F41" i="1" l="1"/>
  <c r="N17" i="6"/>
  <c r="N16" i="6"/>
  <c r="N15" i="6"/>
  <c r="N14" i="6"/>
  <c r="N13" i="6"/>
  <c r="G22" i="6"/>
  <c r="G23" i="6"/>
  <c r="G24" i="6"/>
  <c r="G25" i="6"/>
  <c r="G26" i="6"/>
  <c r="G27" i="6"/>
  <c r="G28" i="6"/>
  <c r="G21" i="6"/>
  <c r="G18" i="6"/>
  <c r="G19" i="6"/>
  <c r="G20" i="6"/>
  <c r="G17" i="6"/>
  <c r="F28" i="6"/>
  <c r="F27" i="6"/>
  <c r="F26" i="6"/>
  <c r="F25" i="6"/>
  <c r="F24" i="6"/>
  <c r="F23" i="6"/>
  <c r="F22" i="6"/>
  <c r="F21" i="6"/>
  <c r="F20" i="6"/>
  <c r="F19" i="6"/>
  <c r="F18" i="6"/>
  <c r="F17" i="6"/>
  <c r="G8" i="6"/>
  <c r="G9" i="6"/>
  <c r="G10" i="6"/>
  <c r="G11" i="6"/>
  <c r="G12" i="6"/>
  <c r="G13" i="6"/>
  <c r="G14" i="6"/>
  <c r="G7" i="6"/>
  <c r="G5" i="6"/>
  <c r="G6" i="6"/>
  <c r="G4" i="6"/>
  <c r="F14" i="6"/>
  <c r="F13" i="6"/>
  <c r="F12" i="6"/>
  <c r="F11" i="6"/>
  <c r="F10" i="6"/>
  <c r="F9" i="6"/>
  <c r="F8" i="6"/>
  <c r="F7" i="6"/>
  <c r="F6" i="6"/>
  <c r="F5" i="6"/>
  <c r="F4" i="6"/>
  <c r="E41" i="1"/>
  <c r="H41" i="1"/>
  <c r="G60" i="11" l="1"/>
  <c r="L63" i="11" l="1"/>
  <c r="F63" i="11" l="1"/>
  <c r="J63" i="11" s="1"/>
  <c r="A71" i="11"/>
  <c r="I65" i="11"/>
  <c r="I64" i="11"/>
  <c r="F64" i="11" l="1"/>
  <c r="J64" i="11" s="1"/>
  <c r="F65" i="11"/>
  <c r="J65" i="11" s="1"/>
  <c r="L65" i="11" s="1"/>
  <c r="L64" i="11" l="1"/>
  <c r="K67" i="11" s="1"/>
  <c r="K66" i="11"/>
  <c r="K65" i="11" l="1"/>
  <c r="K64" i="11"/>
  <c r="H60" i="1"/>
  <c r="H61" i="1"/>
  <c r="H59" i="1"/>
  <c r="H56" i="1"/>
  <c r="H57" i="1"/>
  <c r="H58" i="1"/>
  <c r="K63" i="11" l="1"/>
  <c r="K68" i="11" l="1"/>
  <c r="K69" i="11" s="1"/>
  <c r="K70" i="11" l="1"/>
  <c r="K42" i="1" s="1"/>
  <c r="K43" i="1" s="1"/>
  <c r="H48" i="1" l="1"/>
  <c r="H47" i="1"/>
  <c r="K41" i="1"/>
  <c r="H45" i="1" l="1"/>
  <c r="H46" i="1"/>
  <c r="H44"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Wright</author>
  </authors>
  <commentList>
    <comment ref="A1" authorId="0" shapeId="0" xr:uid="{00000000-0006-0000-0300-000001000000}">
      <text>
        <r>
          <rPr>
            <b/>
            <sz val="9"/>
            <color indexed="60"/>
            <rFont val="Tahoma"/>
            <family val="2"/>
          </rPr>
          <t>Unprotect the worksheet, then double click the document to open in Adobe Acrobat</t>
        </r>
      </text>
    </comment>
  </commentList>
</comments>
</file>

<file path=xl/sharedStrings.xml><?xml version="1.0" encoding="utf-8"?>
<sst xmlns="http://schemas.openxmlformats.org/spreadsheetml/2006/main" count="480" uniqueCount="382">
  <si>
    <t>Customer Information</t>
  </si>
  <si>
    <t>Artifact and Measurement Information</t>
  </si>
  <si>
    <t>Description</t>
  </si>
  <si>
    <t>Volume Transfers</t>
  </si>
  <si>
    <t>1st</t>
  </si>
  <si>
    <t>2nd</t>
  </si>
  <si>
    <t>3rd</t>
  </si>
  <si>
    <r>
      <t>Final (sr</t>
    </r>
    <r>
      <rPr>
        <vertAlign val="subscript"/>
        <sz val="10"/>
        <rFont val="Trebuchet MS"/>
        <family val="2"/>
      </rPr>
      <t>f</t>
    </r>
    <r>
      <rPr>
        <sz val="10"/>
        <rFont val="Trebuchet MS"/>
        <family val="2"/>
      </rPr>
      <t>)</t>
    </r>
  </si>
  <si>
    <t>Drops</t>
  </si>
  <si>
    <t>Uncertainty Analysis</t>
  </si>
  <si>
    <t>Specify Procedure</t>
  </si>
  <si>
    <t>Specify Equation(s)</t>
  </si>
  <si>
    <t>Type</t>
  </si>
  <si>
    <t>B</t>
  </si>
  <si>
    <t>Distribution</t>
  </si>
  <si>
    <t>Date</t>
  </si>
  <si>
    <t>Name</t>
  </si>
  <si>
    <t>Range</t>
  </si>
  <si>
    <t>Range Names</t>
  </si>
  <si>
    <t>No.</t>
  </si>
  <si>
    <t>CustomerID</t>
  </si>
  <si>
    <t>NomVol</t>
  </si>
  <si>
    <t>ScaleGradUnit</t>
  </si>
  <si>
    <t>TestDate</t>
  </si>
  <si>
    <t>NIST HB 105-3</t>
  </si>
  <si>
    <t>NIST HB 105-4</t>
  </si>
  <si>
    <t>Maximum Allowed Subdivision (in³)</t>
  </si>
  <si>
    <t>Neck Uniformity Tolerance Vlookup List (NeckUni.List)</t>
  </si>
  <si>
    <t>Maximum Allowed Subdivision (gal)</t>
  </si>
  <si>
    <t>Maximum Allowed Subdivision (L)</t>
  </si>
  <si>
    <t>Maximum Allowed Subdivision (mL)</t>
  </si>
  <si>
    <t>Data Entry</t>
  </si>
  <si>
    <t>Data Validation &amp; Lookup Lists</t>
  </si>
  <si>
    <t>NC_Tol</t>
  </si>
  <si>
    <t>NU_Tol</t>
  </si>
  <si>
    <t>Spec</t>
  </si>
  <si>
    <t>Normal</t>
  </si>
  <si>
    <t>Triangular</t>
  </si>
  <si>
    <t>Degrees of Freedom</t>
  </si>
  <si>
    <t>N/A</t>
  </si>
  <si>
    <t>Software Technical Assessment</t>
  </si>
  <si>
    <t>Software Description</t>
  </si>
  <si>
    <t>Approval Date</t>
  </si>
  <si>
    <t>Assessed By</t>
  </si>
  <si>
    <t>Approved By</t>
  </si>
  <si>
    <t>Codes</t>
  </si>
  <si>
    <t>Assessment</t>
  </si>
  <si>
    <t>Pass/Fail</t>
  </si>
  <si>
    <t>Evidence</t>
  </si>
  <si>
    <t>A. Software Inspection</t>
  </si>
  <si>
    <t>Spreadsheet is clear and makes sense</t>
  </si>
  <si>
    <t>Pass</t>
  </si>
  <si>
    <t>All worksheet are appropriately named and easy to understand</t>
  </si>
  <si>
    <t xml:space="preserve">There are instructions for use </t>
  </si>
  <si>
    <t>Instructions worksheet</t>
  </si>
  <si>
    <t>Instructions and data input appear on the visible portion of the first worksheet</t>
  </si>
  <si>
    <t>The workbook opens to the instructions worksheet</t>
  </si>
  <si>
    <t>Data-entry fields are labeled and color coded (it is recommended to avoid red and green)</t>
  </si>
  <si>
    <t>Light yellow for blank, light blue for non-blank cells</t>
  </si>
  <si>
    <t>The Standard Operating Procedure (SOP) used is clearly specified</t>
  </si>
  <si>
    <t>Specified on Uncertainty worksheet</t>
  </si>
  <si>
    <t>The number of digits to be rounded to is specified</t>
  </si>
  <si>
    <t>The user is warned/notified whenever data-entry fields are left blank</t>
  </si>
  <si>
    <t>In data validation cells only</t>
  </si>
  <si>
    <t>Data-entry fields are “blank” when opened, preventing loss of old data and ensuring that old data is not used with the current calculations</t>
  </si>
  <si>
    <t>Data entry fields on the workbook template are blank. Instructions tell user to break links before saving after a calibration is performed</t>
  </si>
  <si>
    <t>The software opens at the right location within the file</t>
  </si>
  <si>
    <t>Opens to the Instruction worksheet</t>
  </si>
  <si>
    <t>Unused fields/cells are locked</t>
  </si>
  <si>
    <t>Unused cells are locked and worksheets are protected</t>
  </si>
  <si>
    <t>Rows/columns that the operator need not see are hidden</t>
  </si>
  <si>
    <t>No hidden cells or worksheets</t>
  </si>
  <si>
    <t>Unused sheets are removed</t>
  </si>
  <si>
    <t>No unused worksheets</t>
  </si>
  <si>
    <t>Worksheets are named appropriately</t>
  </si>
  <si>
    <t>Worksheets are appropriately named</t>
  </si>
  <si>
    <t>B. Mathematical Specification</t>
  </si>
  <si>
    <t>The correct SOP is used</t>
  </si>
  <si>
    <t>The formulae and methods chosen from that SOP are specified</t>
  </si>
  <si>
    <t>Volume Transfer method</t>
  </si>
  <si>
    <t>Sources and references for formulae are specified</t>
  </si>
  <si>
    <t>As specified in SOP</t>
  </si>
  <si>
    <t>The chosen SOP, its methods, and its formulae, are appropriate to the level of precision/uncertainty</t>
  </si>
  <si>
    <t>For Volume II calibrations</t>
  </si>
  <si>
    <t>C. Code review</t>
  </si>
  <si>
    <t>The formulae in the fields exactly match the SOP</t>
  </si>
  <si>
    <t>Formulae on calculation worksheet match SOP</t>
  </si>
  <si>
    <t>Repeated calculations appropriately reference the correct cells</t>
  </si>
  <si>
    <t>Calculation worksheet</t>
  </si>
  <si>
    <t>Calculations, when tested using standard data or reference test data, show appropriate accuracy</t>
  </si>
  <si>
    <t>Rounding is done at the appropriate locations in the file</t>
  </si>
  <si>
    <t>D. Numerical Stability</t>
  </si>
  <si>
    <t>Calculations are stable as determined by an evaluation that uses large numbers and small differences</t>
  </si>
  <si>
    <t>No issues encountered</t>
  </si>
  <si>
    <t>Fields, therefore their content, are categorized as “Number” and not “General” when appropriate, and vice versa</t>
  </si>
  <si>
    <t>Formatted correctly throughout workbook</t>
  </si>
  <si>
    <t>“Number” cells are locked to a limited number of decimal places; this limit is appropriate to the values being used</t>
  </si>
  <si>
    <t>Where appropriate</t>
  </si>
  <si>
    <t>E. Component Testing</t>
  </si>
  <si>
    <t>Each macro used is functional</t>
  </si>
  <si>
    <t>Mo macros</t>
  </si>
  <si>
    <t>Each command/button is functional</t>
  </si>
  <si>
    <t>No command buttons</t>
  </si>
  <si>
    <t>Combinations of interdependent macros are functional</t>
  </si>
  <si>
    <t>Plotted graphs are accurate</t>
  </si>
  <si>
    <t>Graphs on uncertainty worksheet display properly</t>
  </si>
  <si>
    <t>Worksheets/reports print properly, if needed to</t>
  </si>
  <si>
    <t>Worksheets formatted for printing as necessary</t>
  </si>
  <si>
    <t>Conditional (color and non-color) formatting is functional</t>
  </si>
  <si>
    <t>On data entry and calculation worksheets</t>
  </si>
  <si>
    <t>F. Numerical Reference</t>
  </si>
  <si>
    <t>Look-up tables and lists match the latest calibration report.</t>
  </si>
  <si>
    <t>Linked tables are validated and up to date</t>
  </si>
  <si>
    <t>Uncertainties match the latest Scope</t>
  </si>
  <si>
    <t>Test on uncertainty worksheet will not allow an uncertainty that is better than the latest published scope</t>
  </si>
  <si>
    <t>Values that reference another workbook or spreadsheet are dated</t>
  </si>
  <si>
    <t>Linked references have been validated and are up to date</t>
  </si>
  <si>
    <t>When a master list’s date is updated, the file references (A) an old value, (B) a default value, (C) displays zero or (D) an error message, as desired by the user</t>
  </si>
  <si>
    <t>G. Embedded Data Evaluation</t>
  </si>
  <si>
    <t>All embedded data has been validated</t>
  </si>
  <si>
    <t>The evaluation of the embedded data is dated and documented</t>
  </si>
  <si>
    <t>Records keep in Software Validation folder on computer hard drive</t>
  </si>
  <si>
    <t>H. Back-to-Back Testing</t>
  </si>
  <si>
    <t>Newer spreadsheets and older spreadsheets agree down to the level of intermediate calculations; this evaluation is dated and documented</t>
  </si>
  <si>
    <t>Evaluated and filed</t>
  </si>
  <si>
    <t>I. Analysis With Out Computer Assistance</t>
  </si>
  <si>
    <t>Hand calculations agree with those generated by the spreadsheet, or if they disagree, the differences are significantly smaller than the reported uncertainty</t>
  </si>
  <si>
    <t>No hand calculations were done</t>
  </si>
  <si>
    <t>J. Security</t>
  </si>
  <si>
    <t>Equation and calculation cells are protected against inadvertent editing</t>
  </si>
  <si>
    <t>Cells are locked and worksheets are password protected</t>
  </si>
  <si>
    <t>Cells are locked in place; they cannot be moved/dragged</t>
  </si>
  <si>
    <t>Locked and password protected</t>
  </si>
  <si>
    <t>Confidentiality of passwords is appropriate</t>
  </si>
  <si>
    <t>State Metrologist and Program Manager only have access</t>
  </si>
  <si>
    <t>Files are backed up automatically</t>
  </si>
  <si>
    <t>Additional back-up is available at alternate facilities</t>
  </si>
  <si>
    <t>Agency IT backs up servers weekly</t>
  </si>
  <si>
    <t>Files on network drives cannot be accidentally deleted</t>
  </si>
  <si>
    <t>Agency IT keeps an additional back up at a remote location</t>
  </si>
  <si>
    <t xml:space="preserve">Tested using previous example </t>
  </si>
  <si>
    <t>k value rounded to 3 digits</t>
  </si>
  <si>
    <t>Instructions</t>
  </si>
  <si>
    <t>SOP 31</t>
  </si>
  <si>
    <t>where</t>
  </si>
  <si>
    <t>Standard Meniscus</t>
  </si>
  <si>
    <t>Neck (mL)</t>
  </si>
  <si>
    <t>Unknown Meniscus</t>
  </si>
  <si>
    <t>Component Description</t>
  </si>
  <si>
    <t>Component Symbol</t>
  </si>
  <si>
    <t>Estimated Uncertainty</t>
  </si>
  <si>
    <t>Units</t>
  </si>
  <si>
    <t>Factor to Normalize</t>
  </si>
  <si>
    <t>% Contribution</t>
  </si>
  <si>
    <t>Volume Standards</t>
  </si>
  <si>
    <t>NIST SOP 31, Scale Plate Calibration for Volumetric Field Standards</t>
  </si>
  <si>
    <t>Initial scale reading</t>
  </si>
  <si>
    <t>Nominal volume of prover</t>
  </si>
  <si>
    <t>‘To Deliver’ volume of water added for each interval of the neck scale calibration</t>
  </si>
  <si>
    <t># calibration points</t>
  </si>
  <si>
    <t xml:space="preserve">Total number of intervals making up the neck scale calibration </t>
  </si>
  <si>
    <t>Deviation between volume added and observed scale plate reading</t>
  </si>
  <si>
    <t>number assigned to each increasing neck scale calibration point; x = f for final calibration point</t>
  </si>
  <si>
    <t>Neck scale correction factor</t>
  </si>
  <si>
    <t>Total volume of water added to neck to increase the water level from sri to srf</t>
  </si>
  <si>
    <t>Final scale reading</t>
  </si>
  <si>
    <t>h =</t>
  </si>
  <si>
    <t>The value for pi</t>
  </si>
  <si>
    <t>The radius of the inside diameter</t>
  </si>
  <si>
    <t>Scale Graduations</t>
  </si>
  <si>
    <t>Maximum Allowed Division (in³)</t>
  </si>
  <si>
    <t>Maximum Allowed Division (gal)</t>
  </si>
  <si>
    <t>Maximum Allowed Division (L)</t>
  </si>
  <si>
    <t>Maximum Allowed Division (mL)</t>
  </si>
  <si>
    <t>in³</t>
  </si>
  <si>
    <t>gal</t>
  </si>
  <si>
    <t>L</t>
  </si>
  <si>
    <t>mL</t>
  </si>
  <si>
    <t>NIST HB 105-3 Table</t>
  </si>
  <si>
    <t>Capacity (gal)</t>
  </si>
  <si>
    <t>Max Subdivision (in³)</t>
  </si>
  <si>
    <t>Max Subdivision (gal)</t>
  </si>
  <si>
    <t>Capacity (L)</t>
  </si>
  <si>
    <t>Max Subdivision (mL)</t>
  </si>
  <si>
    <t>NIST HB 105-4 Table</t>
  </si>
  <si>
    <t>Max Division (mL)</t>
  </si>
  <si>
    <r>
      <t>Max Neck ID (mm</t>
    </r>
    <r>
      <rPr>
        <sz val="12"/>
        <rFont val="Calibri"/>
        <family val="2"/>
      </rPr>
      <t>)</t>
    </r>
  </si>
  <si>
    <t>Gauge Tube ID (mm)</t>
  </si>
  <si>
    <t>Gauge Tube (mL)</t>
  </si>
  <si>
    <t>Max Division (gal)</t>
  </si>
  <si>
    <t>Max Division (in³)</t>
  </si>
  <si>
    <t>5th</t>
  </si>
  <si>
    <t>"Rock" or "Bounce" Vessel after each addition of Volume</t>
  </si>
  <si>
    <t>Reference Temperature</t>
  </si>
  <si>
    <t>The following calculations assume nominal volume graduation is near midpoint of the neck scale</t>
  </si>
  <si>
    <t xml:space="preserve">NOTE: This value is the mean of the scale deviations and may be included in the uncertainty budget for a test measure or prover (if less than the expanded uncertainty when all other components of the test measure or prover calibration uncertainties are combined) and may be included as a rectangular distribution. </t>
  </si>
  <si>
    <t>The height of the line</t>
  </si>
  <si>
    <t>LPG_gal</t>
  </si>
  <si>
    <t>LPG_L</t>
  </si>
  <si>
    <t>NomVolUnit</t>
  </si>
  <si>
    <t>Prover_gal</t>
  </si>
  <si>
    <t>Prover_L</t>
  </si>
  <si>
    <t>RefTemp</t>
  </si>
  <si>
    <t>RefTempUnit</t>
  </si>
  <si>
    <t>Std_df</t>
  </si>
  <si>
    <t>Std_k</t>
  </si>
  <si>
    <t>StdU</t>
  </si>
  <si>
    <t>StdVol</t>
  </si>
  <si>
    <t>Embedded data (conversion factors, reference values, etc.) is correct</t>
  </si>
  <si>
    <r>
      <t xml:space="preserve">The worksheets are password protected. Password: </t>
    </r>
    <r>
      <rPr>
        <sz val="12"/>
        <color rgb="FFFF0000"/>
        <rFont val="Trebuchet MS"/>
        <family val="2"/>
      </rPr>
      <t>password</t>
    </r>
  </si>
  <si>
    <r>
      <rPr>
        <i/>
        <sz val="11"/>
        <rFont val="Trebuchet MS"/>
        <family val="2"/>
      </rPr>
      <t>k</t>
    </r>
    <r>
      <rPr>
        <sz val="11"/>
        <rFont val="Trebuchet MS"/>
        <family val="2"/>
      </rPr>
      <t xml:space="preserve"> factor =</t>
    </r>
  </si>
  <si>
    <t xml:space="preserve">Neck Scale Correction Factor (NSCF) = </t>
  </si>
  <si>
    <t>NSCF</t>
  </si>
  <si>
    <t>Neck Calibration and Uniformity Test Criteria</t>
  </si>
  <si>
    <r>
      <t xml:space="preserve">Note: If Calibration Due Date Cell Turns </t>
    </r>
    <r>
      <rPr>
        <sz val="11"/>
        <color rgb="FFFF0000"/>
        <rFont val="Trebuchet MS"/>
        <family val="2"/>
      </rPr>
      <t>RED</t>
    </r>
    <r>
      <rPr>
        <sz val="11"/>
        <rFont val="Trebuchet MS"/>
        <family val="2"/>
      </rPr>
      <t xml:space="preserve"> Calibrate the Standard or Choose a Different Standard.</t>
    </r>
  </si>
  <si>
    <r>
      <rPr>
        <sz val="11"/>
        <rFont val="Trebuchet MS"/>
        <family val="2"/>
      </rPr>
      <t>NSCF</t>
    </r>
    <r>
      <rPr>
        <i/>
        <sz val="11"/>
        <rFont val="Trebuchet MS"/>
        <family val="2"/>
      </rPr>
      <t xml:space="preserve"> =</t>
    </r>
  </si>
  <si>
    <r>
      <t>V</t>
    </r>
    <r>
      <rPr>
        <i/>
        <vertAlign val="subscript"/>
        <sz val="12"/>
        <rFont val="Trebuchet MS"/>
        <family val="2"/>
      </rPr>
      <t>w</t>
    </r>
    <r>
      <rPr>
        <i/>
        <sz val="12"/>
        <rFont val="Trebuchet MS"/>
        <family val="2"/>
      </rPr>
      <t xml:space="preserve"> =</t>
    </r>
  </si>
  <si>
    <r>
      <t>sr</t>
    </r>
    <r>
      <rPr>
        <i/>
        <vertAlign val="subscript"/>
        <sz val="12"/>
        <rFont val="Trebuchet MS"/>
        <family val="2"/>
      </rPr>
      <t>i</t>
    </r>
    <r>
      <rPr>
        <i/>
        <sz val="12"/>
        <rFont val="Trebuchet MS"/>
        <family val="2"/>
      </rPr>
      <t xml:space="preserve"> =</t>
    </r>
  </si>
  <si>
    <r>
      <t>sr</t>
    </r>
    <r>
      <rPr>
        <i/>
        <vertAlign val="subscript"/>
        <sz val="12"/>
        <rFont val="Trebuchet MS"/>
        <family val="2"/>
      </rPr>
      <t>f</t>
    </r>
    <r>
      <rPr>
        <i/>
        <sz val="12"/>
        <rFont val="Trebuchet MS"/>
        <family val="2"/>
      </rPr>
      <t xml:space="preserve"> =</t>
    </r>
  </si>
  <si>
    <t>π =</t>
  </si>
  <si>
    <r>
      <t>u</t>
    </r>
    <r>
      <rPr>
        <i/>
        <vertAlign val="subscript"/>
        <sz val="12"/>
        <rFont val="Trebuchet MS"/>
        <family val="2"/>
      </rPr>
      <t>s</t>
    </r>
  </si>
  <si>
    <r>
      <rPr>
        <sz val="12"/>
        <rFont val="Trebuchet MS"/>
        <family val="2"/>
      </rPr>
      <t>Δ</t>
    </r>
    <r>
      <rPr>
        <i/>
        <sz val="12"/>
        <rFont val="Trebuchet MS"/>
        <family val="2"/>
      </rPr>
      <t>sr</t>
    </r>
    <r>
      <rPr>
        <i/>
        <vertAlign val="subscript"/>
        <sz val="12"/>
        <rFont val="Trebuchet MS"/>
        <family val="2"/>
      </rPr>
      <t>x</t>
    </r>
    <r>
      <rPr>
        <i/>
        <sz val="12"/>
        <rFont val="Trebuchet MS"/>
        <family val="2"/>
      </rPr>
      <t xml:space="preserve"> =</t>
    </r>
  </si>
  <si>
    <r>
      <t>sr</t>
    </r>
    <r>
      <rPr>
        <i/>
        <vertAlign val="subscript"/>
        <sz val="12"/>
        <rFont val="Trebuchet MS"/>
        <family val="2"/>
      </rPr>
      <t>x</t>
    </r>
    <r>
      <rPr>
        <i/>
        <sz val="12"/>
        <rFont val="Trebuchet MS"/>
        <family val="2"/>
      </rPr>
      <t xml:space="preserve"> =</t>
    </r>
  </si>
  <si>
    <r>
      <t>xV</t>
    </r>
    <r>
      <rPr>
        <i/>
        <vertAlign val="subscript"/>
        <sz val="12"/>
        <rFont val="Trebuchet MS"/>
        <family val="2"/>
      </rPr>
      <t>Sn</t>
    </r>
    <r>
      <rPr>
        <i/>
        <sz val="12"/>
        <rFont val="Trebuchet MS"/>
        <family val="2"/>
      </rPr>
      <t xml:space="preserve"> =</t>
    </r>
  </si>
  <si>
    <r>
      <t>r</t>
    </r>
    <r>
      <rPr>
        <i/>
        <vertAlign val="superscript"/>
        <sz val="12"/>
        <rFont val="Trebuchet MS"/>
        <family val="2"/>
      </rPr>
      <t>2</t>
    </r>
    <r>
      <rPr>
        <i/>
        <sz val="12"/>
        <rFont val="Trebuchet MS"/>
        <family val="2"/>
      </rPr>
      <t xml:space="preserve"> =</t>
    </r>
  </si>
  <si>
    <r>
      <t>V</t>
    </r>
    <r>
      <rPr>
        <i/>
        <vertAlign val="subscript"/>
        <sz val="12"/>
        <rFont val="Tahoma"/>
        <family val="2"/>
      </rPr>
      <t>Sn</t>
    </r>
    <r>
      <rPr>
        <i/>
        <sz val="12"/>
        <rFont val="Tahoma"/>
        <family val="2"/>
      </rPr>
      <t xml:space="preserve"> =</t>
    </r>
  </si>
  <si>
    <r>
      <t>sr</t>
    </r>
    <r>
      <rPr>
        <i/>
        <vertAlign val="subscript"/>
        <sz val="12"/>
        <rFont val="Tahoma"/>
        <family val="2"/>
      </rPr>
      <t>i</t>
    </r>
    <r>
      <rPr>
        <i/>
        <sz val="12"/>
        <rFont val="Tahoma"/>
        <family val="2"/>
      </rPr>
      <t xml:space="preserve"> =</t>
    </r>
  </si>
  <si>
    <r>
      <t>NOM</t>
    </r>
    <r>
      <rPr>
        <i/>
        <vertAlign val="subscript"/>
        <sz val="12"/>
        <rFont val="Tahoma"/>
        <family val="2"/>
      </rPr>
      <t>prover</t>
    </r>
    <r>
      <rPr>
        <i/>
        <sz val="12"/>
        <rFont val="Tahoma"/>
        <family val="2"/>
      </rPr>
      <t xml:space="preserve"> =</t>
    </r>
  </si>
  <si>
    <t>Source</t>
  </si>
  <si>
    <t>Typical Distribution</t>
  </si>
  <si>
    <t>Uncertainty Component Description</t>
  </si>
  <si>
    <t>Symbol</t>
  </si>
  <si>
    <t>Calibration certificate divided by the coverage factor multiplied by the number of drops</t>
  </si>
  <si>
    <t>Neck Scale Tolerance Test (2.4.3)</t>
  </si>
  <si>
    <t>Neck Scale Correction Factor Calculation (2.4.3.11)</t>
  </si>
  <si>
    <t>Uncorrected Systematic Error Calculation (4.2)</t>
  </si>
  <si>
    <r>
      <t>u</t>
    </r>
    <r>
      <rPr>
        <i/>
        <vertAlign val="subscript"/>
        <sz val="12"/>
        <rFont val="Trebuchet MS"/>
        <family val="2"/>
      </rPr>
      <t>mS</t>
    </r>
  </si>
  <si>
    <t xml:space="preserve"> GMP 3, page 4, Uncertainty and Error Analysis in Meniscus Readings</t>
  </si>
  <si>
    <r>
      <t>u</t>
    </r>
    <r>
      <rPr>
        <i/>
        <vertAlign val="subscript"/>
        <sz val="12"/>
        <rFont val="Trebuchet MS"/>
        <family val="2"/>
      </rPr>
      <t>mX</t>
    </r>
  </si>
  <si>
    <t>Identify Components (4.1)</t>
  </si>
  <si>
    <t>Uncertainty of the standard</t>
  </si>
  <si>
    <t>The ability to read the meniscus in the standard</t>
  </si>
  <si>
    <t>The ability to read the meniscus in the unknown</t>
  </si>
  <si>
    <r>
      <t xml:space="preserve">Expanded </t>
    </r>
    <r>
      <rPr>
        <i/>
        <sz val="11"/>
        <rFont val="Trebuchet MS"/>
        <family val="2"/>
      </rPr>
      <t>U</t>
    </r>
    <r>
      <rPr>
        <sz val="11"/>
        <rFont val="Trebuchet MS"/>
        <family val="2"/>
      </rPr>
      <t xml:space="preserve"> (</t>
    </r>
    <r>
      <rPr>
        <i/>
        <sz val="11"/>
        <rFont val="Trebuchet MS"/>
        <family val="2"/>
      </rPr>
      <t>u</t>
    </r>
    <r>
      <rPr>
        <i/>
        <vertAlign val="subscript"/>
        <sz val="11"/>
        <rFont val="Trebuchet MS"/>
        <family val="2"/>
      </rPr>
      <t>c</t>
    </r>
    <r>
      <rPr>
        <i/>
        <sz val="11"/>
        <rFont val="Trebuchet MS"/>
        <family val="2"/>
      </rPr>
      <t>*k</t>
    </r>
    <r>
      <rPr>
        <sz val="11"/>
        <rFont val="Trebuchet MS"/>
        <family val="2"/>
      </rPr>
      <t>) =</t>
    </r>
  </si>
  <si>
    <r>
      <t xml:space="preserve">Combined </t>
    </r>
    <r>
      <rPr>
        <i/>
        <sz val="11"/>
        <rFont val="Trebuchet MS"/>
        <family val="2"/>
      </rPr>
      <t>U</t>
    </r>
    <r>
      <rPr>
        <sz val="11"/>
        <rFont val="Trebuchet MS"/>
        <family val="2"/>
      </rPr>
      <t xml:space="preserve"> (</t>
    </r>
    <r>
      <rPr>
        <i/>
        <sz val="11"/>
        <rFont val="Trebuchet MS"/>
        <family val="2"/>
      </rPr>
      <t>u</t>
    </r>
    <r>
      <rPr>
        <i/>
        <vertAlign val="subscript"/>
        <sz val="11"/>
        <rFont val="Trebuchet MS"/>
        <family val="2"/>
      </rPr>
      <t>c</t>
    </r>
    <r>
      <rPr>
        <sz val="11"/>
        <rFont val="Trebuchet MS"/>
        <family val="2"/>
      </rPr>
      <t>) =</t>
    </r>
  </si>
  <si>
    <r>
      <t>Effective Degrees of Freedom, Welch-Satterthwaite formula, GUM para. G.4.1, equation G2b (</t>
    </r>
    <r>
      <rPr>
        <i/>
        <sz val="11"/>
        <rFont val="Trebuchet MS"/>
        <family val="2"/>
      </rPr>
      <t>v</t>
    </r>
    <r>
      <rPr>
        <vertAlign val="subscript"/>
        <sz val="11"/>
        <rFont val="Trebuchet MS"/>
        <family val="2"/>
      </rPr>
      <t>eff</t>
    </r>
    <r>
      <rPr>
        <sz val="11"/>
        <rFont val="Trebuchet MS"/>
        <family val="2"/>
      </rPr>
      <t>) =</t>
    </r>
  </si>
  <si>
    <t>Certificate Number:</t>
  </si>
  <si>
    <t>Standard Volume at the Reference Temperature (Eqn. 1)</t>
  </si>
  <si>
    <t>Best Starting Point for the Initial Reading (Eqn. 2)</t>
  </si>
  <si>
    <t>Accuracy of Neck Scale Plate at Each Interval (Eqn. 3)</t>
  </si>
  <si>
    <t>Neck Scale Correction Factor (Eqn. 4)</t>
  </si>
  <si>
    <t>Estimate of Uncertainty for Reading Meniscus (GMP 3)</t>
  </si>
  <si>
    <r>
      <t>u</t>
    </r>
    <r>
      <rPr>
        <i/>
        <vertAlign val="subscript"/>
        <sz val="12"/>
        <rFont val="Trebuchet MS"/>
        <family val="2"/>
      </rPr>
      <t>mS</t>
    </r>
    <r>
      <rPr>
        <i/>
        <sz val="12"/>
        <rFont val="Trebuchet MS"/>
        <family val="2"/>
      </rPr>
      <t xml:space="preserve"> =</t>
    </r>
  </si>
  <si>
    <r>
      <t>u</t>
    </r>
    <r>
      <rPr>
        <i/>
        <vertAlign val="subscript"/>
        <sz val="12"/>
        <rFont val="Trebuchet MS"/>
        <family val="2"/>
      </rPr>
      <t>mX</t>
    </r>
    <r>
      <rPr>
        <i/>
        <sz val="12"/>
        <rFont val="Trebuchet MS"/>
        <family val="2"/>
      </rPr>
      <t xml:space="preserve"> =</t>
    </r>
  </si>
  <si>
    <t>Laboratory has its own directory on agency server.</t>
  </si>
  <si>
    <t>Upper Neck Inside Diameter (mm)</t>
  </si>
  <si>
    <t>Total Neck Volume (L)</t>
  </si>
  <si>
    <t>Total Neck Volume (gal)</t>
  </si>
  <si>
    <t>Min Neck Vol (gal)</t>
  </si>
  <si>
    <t>Min Neck Vol (in³)</t>
  </si>
  <si>
    <t>Min Neck Vol (L)</t>
  </si>
  <si>
    <t>NeckUnit.List</t>
  </si>
  <si>
    <t>='Data Entry'!$H$31</t>
  </si>
  <si>
    <t>Final Test With The NSCF Applied</t>
  </si>
  <si>
    <t>Initial Test</t>
  </si>
  <si>
    <t>This workbook compares the entered data against the specifications of  NIST HB 105-3 and NIST HB 105-4.</t>
  </si>
  <si>
    <t>This workbook must be validated using your internal procedures before use and after any changes or modifications.</t>
  </si>
  <si>
    <t>Inserted updated SOP 31</t>
  </si>
  <si>
    <t>Your Name</t>
  </si>
  <si>
    <t>Uncertainty Calculations (Quantity, Convert, Combined, Expand &amp; Report) (4.1)</t>
  </si>
  <si>
    <t>Standard Meniscus (GMP 3)</t>
  </si>
  <si>
    <t>Unknown Meniscus (GMP 3)</t>
  </si>
  <si>
    <t>CertNo</t>
  </si>
  <si>
    <t>DateReceived</t>
  </si>
  <si>
    <r>
      <t>u</t>
    </r>
    <r>
      <rPr>
        <i/>
        <vertAlign val="subscript"/>
        <sz val="12"/>
        <rFont val="Trebuchet MS"/>
        <family val="2"/>
      </rPr>
      <t>n</t>
    </r>
    <r>
      <rPr>
        <i/>
        <sz val="12"/>
        <rFont val="Trebuchet MS"/>
        <family val="2"/>
      </rPr>
      <t xml:space="preserve"> =</t>
    </r>
  </si>
  <si>
    <r>
      <t>u</t>
    </r>
    <r>
      <rPr>
        <i/>
        <vertAlign val="subscript"/>
        <sz val="12"/>
        <rFont val="Trebuchet MS"/>
        <family val="2"/>
      </rPr>
      <t>S</t>
    </r>
    <r>
      <rPr>
        <i/>
        <sz val="12"/>
        <rFont val="Trebuchet MS"/>
        <family val="2"/>
      </rPr>
      <t xml:space="preserve"> =</t>
    </r>
  </si>
  <si>
    <t>Ability to read the Meniscus in S</t>
  </si>
  <si>
    <t>Combined Uncertainty</t>
  </si>
  <si>
    <t>Ability to read the Meniscus in X</t>
  </si>
  <si>
    <t>Calibration Uncertainty for Four Calibration Intervals Comprised of One Delivery from the Standard per Interval (Eqn. 5)</t>
  </si>
  <si>
    <t>Calibration Uncertainty for Four Calibration Intervals Comprised of Two Deliveries from the Standard per Interval (Eqn. 6)</t>
  </si>
  <si>
    <t>Intervals</t>
  </si>
  <si>
    <t>Corrected uncertainty calculations to match SOP 31, equations 5 and 6 on the Uncertainty Analysis worksheet.</t>
  </si>
  <si>
    <t>Added SOP 31 equations 5 and 6 under the Specify Equation(s) on the Uncertainty Analysis worksheet.</t>
  </si>
  <si>
    <t>On the Data Entry worksheet changed the word 'points' to intervals' in cell G19 and named cell J19 'Intervals'.</t>
  </si>
  <si>
    <t>Changed conditional formatting for the Nominal Volume Unit, cell A13 on the Data Entry worksheet.</t>
  </si>
  <si>
    <t>Changed cell I30 on the Data Entry worksheet from "Drops" to "Total Drops from Standard" and added a note with an example.</t>
  </si>
  <si>
    <r>
      <t xml:space="preserve">NOTE: For equations and tests to work properly all entries marked with a </t>
    </r>
    <r>
      <rPr>
        <sz val="12"/>
        <color rgb="FFFF0000"/>
        <rFont val="Trebuchet MS"/>
        <family val="2"/>
      </rPr>
      <t>♦</t>
    </r>
    <r>
      <rPr>
        <sz val="12"/>
        <rFont val="Trebuchet MS"/>
        <family val="2"/>
      </rPr>
      <t xml:space="preserve"> are mandatory.</t>
    </r>
  </si>
  <si>
    <t>♦</t>
  </si>
  <si>
    <r>
      <t>Initial Scale Reading(sr</t>
    </r>
    <r>
      <rPr>
        <vertAlign val="subscript"/>
        <sz val="10"/>
        <color indexed="9"/>
        <rFont val="Trebuchet MS"/>
        <family val="2"/>
      </rPr>
      <t>i</t>
    </r>
    <r>
      <rPr>
        <sz val="10"/>
        <color indexed="9"/>
        <rFont val="Trebuchet MS"/>
        <family val="2"/>
      </rPr>
      <t xml:space="preserve">) </t>
    </r>
    <r>
      <rPr>
        <sz val="10"/>
        <color rgb="FFFF0000"/>
        <rFont val="Trebuchet MS"/>
        <family val="2"/>
      </rPr>
      <t>♦</t>
    </r>
  </si>
  <si>
    <r>
      <t xml:space="preserve">Are there any failures in the Neck Uniformity Tolerance Test? </t>
    </r>
    <r>
      <rPr>
        <sz val="12"/>
        <color rgb="FFFF0000"/>
        <rFont val="Trebuchet MS"/>
        <family val="2"/>
      </rPr>
      <t>♦</t>
    </r>
  </si>
  <si>
    <r>
      <t xml:space="preserve">Are there any failures in the Initial Neck Calibration Tolerance Test? </t>
    </r>
    <r>
      <rPr>
        <sz val="12"/>
        <color rgb="FFFF0000"/>
        <rFont val="Trebuchet MS"/>
        <family val="2"/>
      </rPr>
      <t>♦</t>
    </r>
  </si>
  <si>
    <r>
      <t>Initial Scale Reading(sr</t>
    </r>
    <r>
      <rPr>
        <vertAlign val="subscript"/>
        <sz val="10"/>
        <color indexed="9"/>
        <rFont val="Trebuchet MS"/>
        <family val="2"/>
      </rPr>
      <t>i</t>
    </r>
    <r>
      <rPr>
        <sz val="10"/>
        <color indexed="9"/>
        <rFont val="Trebuchet MS"/>
        <family val="2"/>
      </rPr>
      <t>)</t>
    </r>
  </si>
  <si>
    <r>
      <t xml:space="preserve">Are there still failures in the Final Test with the NSCF applied? </t>
    </r>
    <r>
      <rPr>
        <sz val="12"/>
        <color rgb="FFFF0000"/>
        <rFont val="Trebuchet MS"/>
        <family val="2"/>
      </rPr>
      <t>♦</t>
    </r>
  </si>
  <si>
    <t>Volumetric Standard Used (2.3.4)</t>
  </si>
  <si>
    <t>Company:</t>
  </si>
  <si>
    <t>Address 1:</t>
  </si>
  <si>
    <t>Address 2:</t>
  </si>
  <si>
    <t>City, St Zip:</t>
  </si>
  <si>
    <t>Customer ID:</t>
  </si>
  <si>
    <t>Job Order Number:</t>
  </si>
  <si>
    <t>POC:</t>
  </si>
  <si>
    <t>Phone:</t>
  </si>
  <si>
    <t>Description:</t>
  </si>
  <si>
    <t>Manufacture:</t>
  </si>
  <si>
    <t>Model Number:</t>
  </si>
  <si>
    <r>
      <t xml:space="preserve">Nominal Volume </t>
    </r>
    <r>
      <rPr>
        <sz val="10"/>
        <color rgb="FFFF0000"/>
        <rFont val="Trebuchet MS"/>
        <family val="2"/>
      </rPr>
      <t>♦</t>
    </r>
    <r>
      <rPr>
        <sz val="10"/>
        <rFont val="Trebuchet MS"/>
        <family val="2"/>
      </rPr>
      <t>:</t>
    </r>
  </si>
  <si>
    <r>
      <t xml:space="preserve">Scale Graduation Units </t>
    </r>
    <r>
      <rPr>
        <sz val="10"/>
        <color rgb="FFFF0000"/>
        <rFont val="Trebuchet MS"/>
        <family val="2"/>
      </rPr>
      <t>♦</t>
    </r>
    <r>
      <rPr>
        <sz val="10"/>
        <rFont val="Trebuchet MS"/>
        <family val="2"/>
      </rPr>
      <t>:</t>
    </r>
  </si>
  <si>
    <t>Date Received:</t>
  </si>
  <si>
    <t>Serial Number:</t>
  </si>
  <si>
    <r>
      <t xml:space="preserve">Specification </t>
    </r>
    <r>
      <rPr>
        <sz val="10"/>
        <color rgb="FFFF0000"/>
        <rFont val="Trebuchet MS"/>
        <family val="2"/>
      </rPr>
      <t>♦</t>
    </r>
    <r>
      <rPr>
        <sz val="10"/>
        <rFont val="Trebuchet MS"/>
        <family val="2"/>
      </rPr>
      <t>:</t>
    </r>
  </si>
  <si>
    <r>
      <t xml:space="preserve">Nominal Volume Unit </t>
    </r>
    <r>
      <rPr>
        <sz val="10"/>
        <color rgb="FFFF0000"/>
        <rFont val="Trebuchet MS"/>
        <family val="2"/>
      </rPr>
      <t>♦</t>
    </r>
    <r>
      <rPr>
        <sz val="10"/>
        <rFont val="Trebuchet MS"/>
        <family val="2"/>
      </rPr>
      <t>:</t>
    </r>
  </si>
  <si>
    <r>
      <t xml:space="preserve">Reference Temperature </t>
    </r>
    <r>
      <rPr>
        <sz val="10"/>
        <color rgb="FFFF0000"/>
        <rFont val="Trebuchet MS"/>
        <family val="2"/>
      </rPr>
      <t>♦</t>
    </r>
    <r>
      <rPr>
        <sz val="10"/>
        <rFont val="Trebuchet MS"/>
        <family val="2"/>
      </rPr>
      <t>:</t>
    </r>
  </si>
  <si>
    <r>
      <t xml:space="preserve">Temperature Scale </t>
    </r>
    <r>
      <rPr>
        <sz val="10"/>
        <color rgb="FFFF0000"/>
        <rFont val="Trebuchet MS"/>
        <family val="2"/>
      </rPr>
      <t>♦</t>
    </r>
    <r>
      <rPr>
        <sz val="10"/>
        <rFont val="Trebuchet MS"/>
        <family val="2"/>
      </rPr>
      <t>:</t>
    </r>
  </si>
  <si>
    <r>
      <t>♦</t>
    </r>
    <r>
      <rPr>
        <sz val="10"/>
        <rFont val="Trebuchet MS"/>
        <family val="2"/>
      </rPr>
      <t>:</t>
    </r>
  </si>
  <si>
    <r>
      <t xml:space="preserve">Choose the number of calibration intervals for the test </t>
    </r>
    <r>
      <rPr>
        <sz val="10"/>
        <color rgb="FFFF0000"/>
        <rFont val="Trebuchet MS"/>
        <family val="2"/>
      </rPr>
      <t>♦</t>
    </r>
    <r>
      <rPr>
        <sz val="10"/>
        <rFont val="Trebuchet MS"/>
        <family val="2"/>
      </rPr>
      <t>:</t>
    </r>
  </si>
  <si>
    <t>Technician Name:</t>
  </si>
  <si>
    <t>Item ID:</t>
  </si>
  <si>
    <t>Serial #:</t>
  </si>
  <si>
    <t>Certificate #:</t>
  </si>
  <si>
    <t>Cal. Date:</t>
  </si>
  <si>
    <r>
      <t xml:space="preserve">Cal. Due </t>
    </r>
    <r>
      <rPr>
        <sz val="10"/>
        <color rgb="FFFF0000"/>
        <rFont val="Trebuchet MS"/>
        <family val="2"/>
      </rPr>
      <t>♦</t>
    </r>
    <r>
      <rPr>
        <sz val="10"/>
        <rFont val="Trebuchet MS"/>
        <family val="2"/>
      </rPr>
      <t>:</t>
    </r>
  </si>
  <si>
    <t>ID Code:</t>
  </si>
  <si>
    <r>
      <t xml:space="preserve">Total Drops from Std. </t>
    </r>
    <r>
      <rPr>
        <sz val="10"/>
        <color rgb="FFFF0000"/>
        <rFont val="Trebuchet MS"/>
        <family val="2"/>
      </rPr>
      <t>♦</t>
    </r>
    <r>
      <rPr>
        <sz val="10"/>
        <rFont val="Trebuchet MS"/>
        <family val="2"/>
      </rPr>
      <t>:</t>
    </r>
  </si>
  <si>
    <r>
      <t xml:space="preserve">k factor </t>
    </r>
    <r>
      <rPr>
        <sz val="10"/>
        <color rgb="FFFF0000"/>
        <rFont val="Trebuchet MS"/>
        <family val="2"/>
      </rPr>
      <t>♦</t>
    </r>
    <r>
      <rPr>
        <sz val="10"/>
        <rFont val="Trebuchet MS"/>
        <family val="2"/>
      </rPr>
      <t>:</t>
    </r>
  </si>
  <si>
    <r>
      <t xml:space="preserve">df </t>
    </r>
    <r>
      <rPr>
        <sz val="10"/>
        <color rgb="FFFF0000"/>
        <rFont val="Trebuchet MS"/>
        <family val="2"/>
      </rPr>
      <t>♦</t>
    </r>
    <r>
      <rPr>
        <sz val="10"/>
        <rFont val="Trebuchet MS"/>
        <family val="2"/>
      </rPr>
      <t>:</t>
    </r>
  </si>
  <si>
    <r>
      <t xml:space="preserve">Neck ID (mm) </t>
    </r>
    <r>
      <rPr>
        <sz val="10"/>
        <color rgb="FFFF0000"/>
        <rFont val="Trebuchet MS"/>
        <family val="2"/>
      </rPr>
      <t>♦</t>
    </r>
    <r>
      <rPr>
        <sz val="10"/>
        <rFont val="Trebuchet MS"/>
        <family val="2"/>
      </rPr>
      <t>:</t>
    </r>
  </si>
  <si>
    <r>
      <t xml:space="preserve">Gauge Tube ID (mm) </t>
    </r>
    <r>
      <rPr>
        <sz val="10"/>
        <color rgb="FFFF0000"/>
        <rFont val="Trebuchet MS"/>
        <family val="2"/>
      </rPr>
      <t>♦</t>
    </r>
    <r>
      <rPr>
        <sz val="10"/>
        <rFont val="Trebuchet MS"/>
        <family val="2"/>
      </rPr>
      <t>:</t>
    </r>
  </si>
  <si>
    <r>
      <t xml:space="preserve">Graduation Line Width (mm) </t>
    </r>
    <r>
      <rPr>
        <sz val="10"/>
        <color rgb="FFFF0000"/>
        <rFont val="Trebuchet MS"/>
        <family val="2"/>
      </rPr>
      <t>♦</t>
    </r>
    <r>
      <rPr>
        <sz val="10"/>
        <rFont val="Trebuchet MS"/>
        <family val="2"/>
      </rPr>
      <t>:</t>
    </r>
  </si>
  <si>
    <t>='Data Entry'!$J$1</t>
  </si>
  <si>
    <t>='Data Entry'!$L$5</t>
  </si>
  <si>
    <t>='Data Entry'!$K$11</t>
  </si>
  <si>
    <t>='Data Entry'!$L$30</t>
  </si>
  <si>
    <t>='Data Entry'!$L$21</t>
  </si>
  <si>
    <t>=Lists!$M$4:$Q$10</t>
  </si>
  <si>
    <t>=Lists!$M$13:$P$17</t>
  </si>
  <si>
    <t>='Data Entry'!$H$42</t>
  </si>
  <si>
    <t>=Lists!$A$5:$C$8</t>
  </si>
  <si>
    <t>='Data Entry'!$D$14</t>
  </si>
  <si>
    <t>='Data Entry'!$H$14</t>
  </si>
  <si>
    <t>='Data Entry'!$H$66</t>
  </si>
  <si>
    <t>='Data Entry'!$K$42</t>
  </si>
  <si>
    <t>=Lists!$E$4:$K$14</t>
  </si>
  <si>
    <t>=Lists!$E$17:$I$28</t>
  </si>
  <si>
    <t>=Lists!$S$3:$S$4</t>
  </si>
  <si>
    <t>='Data Entry'!$A$27</t>
  </si>
  <si>
    <t>='Data Entry'!$D$15</t>
  </si>
  <si>
    <t>='Data Entry'!$K$13</t>
  </si>
  <si>
    <t>='Data Entry'!$E$31</t>
  </si>
  <si>
    <t>='Data Entry'!$C$31</t>
  </si>
  <si>
    <t>='Data Entry'!$H$30</t>
  </si>
  <si>
    <t>='Data Entry'!$D$24</t>
  </si>
  <si>
    <r>
      <t xml:space="preserve">Test Date </t>
    </r>
    <r>
      <rPr>
        <sz val="10"/>
        <color rgb="FFFF0000"/>
        <rFont val="Trebuchet MS"/>
        <family val="2"/>
      </rPr>
      <t>♦</t>
    </r>
    <r>
      <rPr>
        <sz val="10"/>
        <rFont val="Trebuchet MS"/>
        <family val="2"/>
      </rPr>
      <t>:</t>
    </r>
  </si>
  <si>
    <t>Corrected the ∆sr equations to match equation 3 in SOP 31.</t>
  </si>
  <si>
    <t>Corrected rounding so enough digits will be displayed.</t>
  </si>
  <si>
    <t>Labeled mandatory data input for the equations and tests to work properly.</t>
  </si>
  <si>
    <t>Revised the inputs for the Volumetric Standard used.</t>
  </si>
  <si>
    <t>sr_i</t>
  </si>
  <si>
    <t>='Data Entry'!$E$42</t>
  </si>
  <si>
    <t>sr_f4</t>
  </si>
  <si>
    <t>='Data Entry'!$E$46</t>
  </si>
  <si>
    <t>sr_f6</t>
  </si>
  <si>
    <t>='Data Entry'!$E$48</t>
  </si>
  <si>
    <t>Corrected NomVolUnit equations on Uncertainty Analysis worksheet.</t>
  </si>
  <si>
    <t>This workbook was developed by Dan Wright, Washington State Department of Agriculture, Weights and Measures Program, Metrology Laboratory. It follows the procedure documented in NIST SOP 31, and the specifications of NIST HB 105-3 and NIST HB 105-4. Georgia Harris and Val Miller, NIST OWM, have evaluated this spreadsheet and provided useful feedback in its development.</t>
  </si>
  <si>
    <t>Document Changes Tracking Form</t>
  </si>
  <si>
    <t>Document:</t>
  </si>
  <si>
    <t>WAMRF-003, SOP 31 Scale Plate Calibration workbook</t>
  </si>
  <si>
    <t>Page Number</t>
  </si>
  <si>
    <t>Paragraph Number</t>
  </si>
  <si>
    <t>Comments</t>
  </si>
  <si>
    <t>AR Number</t>
  </si>
  <si>
    <t>Deleted Revision 08 and created Version 1 from new NIST SOP 31</t>
  </si>
  <si>
    <t>SOP 31 worksheet</t>
  </si>
  <si>
    <t>Changed Report Number to Certificate Number on Data Entry worksheet Cell E26, changed range name TestNo to CertNo, and some minor reformatting on Uncertainty worksheet.</t>
  </si>
  <si>
    <t>Uncertainty worksheet</t>
  </si>
  <si>
    <t>Data Entry worksheet</t>
  </si>
  <si>
    <t>Revised the NSCF calculation so it is always visible and corrected rounding for the uncorrected error equation.</t>
  </si>
  <si>
    <t>Replaced Documentation worksheet with the Document Changes Tracking form</t>
  </si>
  <si>
    <t>Embedded 2017 version of SOP 31.</t>
  </si>
  <si>
    <t>WAMRF-003 (Ver. 7), SOP 31 Scale Plate Calibration Workbook</t>
  </si>
  <si>
    <t>Corrected Uncertainty Analysis reference to  "gal" from "Nominal Volume (gal)"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</si>
</sst>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164" formatCode="General_)"/>
    <numFmt numFmtId="165" formatCode="0000"/>
    <numFmt numFmtId="166" formatCode="[$-409]mmmm\ d\,\ yyyy;@"/>
    <numFmt numFmtId="167" formatCode="0.00000000"/>
  </numFmts>
  <fonts count="65" x14ac:knownFonts="1">
    <font>
      <sz val="12"/>
      <name val="Helv"/>
    </font>
    <font>
      <sz val="11"/>
      <color theme="1"/>
      <name val="Calibri"/>
      <family val="2"/>
      <scheme val="minor"/>
    </font>
    <font>
      <sz val="12"/>
      <name val="Trebuchet MS"/>
      <family val="2"/>
    </font>
    <font>
      <sz val="12"/>
      <name val="Trebuchet MS"/>
      <family val="2"/>
    </font>
    <font>
      <sz val="10"/>
      <name val="Arial"/>
      <family val="2"/>
    </font>
    <font>
      <sz val="10"/>
      <name val="Arial"/>
      <family val="2"/>
    </font>
    <font>
      <sz val="18"/>
      <name val="Arial"/>
      <family val="2"/>
    </font>
    <font>
      <sz val="12"/>
      <name val="Arial"/>
      <family val="2"/>
    </font>
    <font>
      <sz val="12"/>
      <name val="Times New Roman"/>
      <family val="1"/>
    </font>
    <font>
      <sz val="8"/>
      <name val="Helv"/>
    </font>
    <font>
      <sz val="14"/>
      <name val="Trebuchet MS"/>
      <family val="2"/>
    </font>
    <font>
      <sz val="12"/>
      <name val="Tahoma"/>
      <family val="2"/>
    </font>
    <font>
      <sz val="10"/>
      <name val="Times New Roman"/>
      <family val="1"/>
    </font>
    <font>
      <sz val="10"/>
      <name val="Helv"/>
    </font>
    <font>
      <sz val="12"/>
      <name val="Trebuchet MS"/>
      <family val="2"/>
    </font>
    <font>
      <sz val="12"/>
      <name val="Times New Roman"/>
      <family val="1"/>
    </font>
    <font>
      <sz val="11"/>
      <name val="Trebuchet MS"/>
      <family val="2"/>
    </font>
    <font>
      <sz val="10"/>
      <name val="Trebuchet MS"/>
      <family val="2"/>
    </font>
    <font>
      <sz val="11"/>
      <name val="Tahoma"/>
      <family val="2"/>
    </font>
    <font>
      <vertAlign val="subscript"/>
      <sz val="10"/>
      <color indexed="9"/>
      <name val="Trebuchet MS"/>
      <family val="2"/>
    </font>
    <font>
      <sz val="10"/>
      <color indexed="9"/>
      <name val="Trebuchet MS"/>
      <family val="2"/>
    </font>
    <font>
      <vertAlign val="subscript"/>
      <sz val="10"/>
      <name val="Trebuchet MS"/>
      <family val="2"/>
    </font>
    <font>
      <b/>
      <sz val="11"/>
      <color indexed="9"/>
      <name val="Tahoma"/>
      <family val="2"/>
    </font>
    <font>
      <sz val="10"/>
      <name val="Courier"/>
      <family val="3"/>
    </font>
    <font>
      <b/>
      <sz val="10"/>
      <name val="Trebuchet MS"/>
      <family val="2"/>
    </font>
    <font>
      <sz val="11"/>
      <name val="Times New Roman"/>
      <family val="1"/>
    </font>
    <font>
      <sz val="11"/>
      <name val="Arial"/>
      <family val="2"/>
    </font>
    <font>
      <b/>
      <i/>
      <sz val="11"/>
      <name val="Arial"/>
      <family val="2"/>
    </font>
    <font>
      <sz val="10"/>
      <name val="Tahoma"/>
      <family val="2"/>
    </font>
    <font>
      <i/>
      <sz val="11"/>
      <name val="Trebuchet MS"/>
      <family val="2"/>
    </font>
    <font>
      <u/>
      <sz val="10"/>
      <color indexed="12"/>
      <name val="Arial"/>
      <family val="2"/>
    </font>
    <font>
      <b/>
      <sz val="12"/>
      <name val="Trebuchet MS"/>
      <family val="2"/>
    </font>
    <font>
      <sz val="16"/>
      <name val="Trebuchet MS"/>
      <family val="2"/>
    </font>
    <font>
      <sz val="12"/>
      <color theme="1"/>
      <name val="Trebuchet MS"/>
      <family val="2"/>
    </font>
    <font>
      <sz val="12"/>
      <color theme="0"/>
      <name val="Trebuchet MS"/>
      <family val="2"/>
    </font>
    <font>
      <b/>
      <sz val="12"/>
      <color rgb="FF3F3F3F"/>
      <name val="Trebuchet MS"/>
      <family val="2"/>
    </font>
    <font>
      <u/>
      <sz val="11"/>
      <name val="Trebuchet MS"/>
      <family val="2"/>
    </font>
    <font>
      <i/>
      <sz val="14"/>
      <name val="Times New Roman"/>
      <family val="1"/>
    </font>
    <font>
      <i/>
      <sz val="10"/>
      <name val="Trebuchet MS"/>
      <family val="2"/>
    </font>
    <font>
      <i/>
      <sz val="11"/>
      <name val="Tahoma"/>
      <family val="2"/>
    </font>
    <font>
      <vertAlign val="subscript"/>
      <sz val="11"/>
      <name val="Trebuchet MS"/>
      <family val="2"/>
    </font>
    <font>
      <sz val="11"/>
      <color theme="0"/>
      <name val="Arial"/>
      <family val="2"/>
    </font>
    <font>
      <b/>
      <sz val="9"/>
      <color indexed="60"/>
      <name val="Tahoma"/>
      <family val="2"/>
    </font>
    <font>
      <sz val="12"/>
      <name val="Calibri"/>
      <family val="2"/>
    </font>
    <font>
      <b/>
      <i/>
      <sz val="10"/>
      <name val="Trebuchet MS"/>
      <family val="2"/>
    </font>
    <font>
      <b/>
      <sz val="11"/>
      <name val="Trebuchet MS"/>
      <family val="2"/>
    </font>
    <font>
      <sz val="12"/>
      <color rgb="FFFF0000"/>
      <name val="Trebuchet MS"/>
      <family val="2"/>
    </font>
    <font>
      <sz val="11"/>
      <color rgb="FFFF0000"/>
      <name val="Trebuchet MS"/>
      <family val="2"/>
    </font>
    <font>
      <i/>
      <vertAlign val="subscript"/>
      <sz val="11"/>
      <name val="Trebuchet MS"/>
      <family val="2"/>
    </font>
    <font>
      <i/>
      <sz val="12"/>
      <name val="Trebuchet MS"/>
      <family val="2"/>
    </font>
    <font>
      <i/>
      <vertAlign val="subscript"/>
      <sz val="12"/>
      <name val="Trebuchet MS"/>
      <family val="2"/>
    </font>
    <font>
      <i/>
      <vertAlign val="superscript"/>
      <sz val="12"/>
      <name val="Trebuchet MS"/>
      <family val="2"/>
    </font>
    <font>
      <i/>
      <sz val="12"/>
      <name val="Tahoma"/>
      <family val="2"/>
    </font>
    <font>
      <i/>
      <vertAlign val="subscript"/>
      <sz val="12"/>
      <name val="Tahoma"/>
      <family val="2"/>
    </font>
    <font>
      <sz val="12"/>
      <color theme="2" tint="-0.249977111117893"/>
      <name val="Times New Roman"/>
      <family val="1"/>
    </font>
    <font>
      <sz val="11"/>
      <color theme="2" tint="-0.249977111117893"/>
      <name val="Tahoma"/>
      <family val="2"/>
    </font>
    <font>
      <sz val="10"/>
      <color rgb="FFFF0000"/>
      <name val="Trebuchet MS"/>
      <family val="2"/>
    </font>
    <font>
      <sz val="12"/>
      <name val="Trebuchet MS"/>
      <family val="2"/>
    </font>
    <font>
      <sz val="12"/>
      <name val="Helv"/>
    </font>
    <font>
      <sz val="14"/>
      <color rgb="FF000000"/>
      <name val="Trebuchet MS"/>
      <family val="2"/>
    </font>
    <font>
      <b/>
      <sz val="12"/>
      <color rgb="FF000000"/>
      <name val="Trebuchet MS"/>
      <family val="2"/>
    </font>
    <font>
      <sz val="12"/>
      <color rgb="FF000000"/>
      <name val="Trebuchet MS"/>
      <family val="2"/>
    </font>
    <font>
      <b/>
      <sz val="11"/>
      <color rgb="FF000000"/>
      <name val="Trebuchet MS"/>
      <family val="2"/>
    </font>
    <font>
      <sz val="12"/>
      <color rgb="FF000000"/>
      <name val="Trebuchet MS"/>
      <family val="2"/>
    </font>
    <font>
      <sz val="12"/>
      <color rgb="FF000000"/>
      <name val="Trebuchet MS"/>
    </font>
  </fonts>
  <fills count="60">
    <fill>
      <patternFill patternType="none"/>
    </fill>
    <fill>
      <patternFill patternType="gray125"/>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56"/>
      </patternFill>
    </fill>
    <fill>
      <patternFill patternType="solid">
        <fgColor indexed="10"/>
      </patternFill>
    </fill>
    <fill>
      <patternFill patternType="solid">
        <fgColor indexed="53"/>
      </patternFill>
    </fill>
    <fill>
      <patternFill patternType="solid">
        <fgColor indexed="51"/>
      </patternFill>
    </fill>
    <fill>
      <patternFill patternType="solid">
        <fgColor indexed="54"/>
      </patternFill>
    </fill>
    <fill>
      <patternFill patternType="solid">
        <fgColor indexed="43"/>
        <bgColor indexed="64"/>
      </patternFill>
    </fill>
    <fill>
      <patternFill patternType="solid">
        <fgColor indexed="8"/>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theme="2"/>
        <bgColor indexed="64"/>
      </patternFill>
    </fill>
    <fill>
      <gradientFill degree="90">
        <stop position="0">
          <color theme="0"/>
        </stop>
        <stop position="1">
          <color theme="2" tint="-0.49803155613879818"/>
        </stop>
      </gradientFill>
    </fill>
    <fill>
      <gradientFill degree="90">
        <stop position="0">
          <color theme="0"/>
        </stop>
        <stop position="1">
          <color rgb="FFFFFF00"/>
        </stop>
      </gradientFill>
    </fill>
    <fill>
      <gradientFill type="path" left="0.5" right="0.5" top="0.5" bottom="0.5">
        <stop position="0">
          <color theme="0"/>
        </stop>
        <stop position="1">
          <color theme="6" tint="0.40000610370189521"/>
        </stop>
      </gradientFill>
    </fill>
    <fill>
      <patternFill patternType="solid">
        <fgColor theme="1"/>
      </patternFill>
    </fill>
    <fill>
      <patternFill patternType="solid">
        <fgColor indexed="2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bgColor indexed="64"/>
      </patternFill>
    </fill>
    <fill>
      <gradientFill>
        <stop position="0">
          <color theme="0"/>
        </stop>
        <stop position="1">
          <color theme="2" tint="-0.49803155613879818"/>
        </stop>
      </gradientFill>
    </fill>
    <fill>
      <gradientFill>
        <stop position="0">
          <color theme="0"/>
        </stop>
        <stop position="1">
          <color theme="6" tint="-0.25098422193060094"/>
        </stop>
      </gradientFill>
    </fill>
    <fill>
      <gradientFill>
        <stop position="0">
          <color theme="0"/>
        </stop>
        <stop position="1">
          <color theme="9" tint="-0.25098422193060094"/>
        </stop>
      </gradientFill>
    </fill>
    <fill>
      <gradientFill>
        <stop position="0">
          <color theme="0"/>
        </stop>
        <stop position="1">
          <color theme="8" tint="-0.25098422193060094"/>
        </stop>
      </gradientFill>
    </fill>
    <fill>
      <gradientFill>
        <stop position="0">
          <color theme="0"/>
        </stop>
        <stop position="1">
          <color theme="1" tint="0.1490218817712943"/>
        </stop>
      </gradientFill>
    </fill>
    <fill>
      <gradientFill>
        <stop position="0">
          <color theme="0"/>
        </stop>
        <stop position="1">
          <color theme="7" tint="-0.25098422193060094"/>
        </stop>
      </gradientFill>
    </fill>
    <fill>
      <gradientFill degree="90">
        <stop position="0">
          <color theme="0"/>
        </stop>
        <stop position="1">
          <color theme="5" tint="-0.25098422193060094"/>
        </stop>
      </gradientFill>
    </fill>
    <fill>
      <gradientFill degree="90">
        <stop position="0">
          <color theme="0"/>
        </stop>
        <stop position="1">
          <color theme="3" tint="0.40000610370189521"/>
        </stop>
      </gradientFill>
    </fill>
    <fill>
      <gradientFill>
        <stop position="0">
          <color theme="0"/>
        </stop>
        <stop position="1">
          <color rgb="FF002060"/>
        </stop>
      </gradientFill>
    </fill>
    <fill>
      <gradientFill degree="90">
        <stop position="0">
          <color theme="0"/>
        </stop>
        <stop position="1">
          <color theme="4"/>
        </stop>
      </gradientFill>
    </fill>
    <fill>
      <gradientFill degree="90">
        <stop position="0">
          <color theme="0"/>
        </stop>
        <stop position="1">
          <color theme="9" tint="0.40000610370189521"/>
        </stop>
      </gradientFill>
    </fill>
    <fill>
      <gradientFill degree="90">
        <stop position="0">
          <color theme="0"/>
        </stop>
        <stop position="1">
          <color theme="9" tint="-0.49803155613879818"/>
        </stop>
      </gradientFill>
    </fill>
    <fill>
      <gradientFill degree="90">
        <stop position="0">
          <color theme="0"/>
        </stop>
        <stop position="1">
          <color theme="8" tint="-0.25098422193060094"/>
        </stop>
      </gradientFill>
    </fill>
    <fill>
      <gradientFill degree="90">
        <stop position="0">
          <color theme="0"/>
        </stop>
        <stop position="1">
          <color theme="6" tint="0.40000610370189521"/>
        </stop>
      </gradientFill>
    </fill>
    <fill>
      <gradientFill degree="90">
        <stop position="0">
          <color theme="0"/>
        </stop>
        <stop position="1">
          <color theme="3" tint="0.59999389629810485"/>
        </stop>
      </gradientFill>
    </fill>
    <fill>
      <gradientFill degree="90">
        <stop position="0">
          <color theme="0"/>
        </stop>
        <stop position="1">
          <color theme="0"/>
        </stop>
      </gradientFill>
    </fill>
  </fills>
  <borders count="60">
    <border>
      <left/>
      <right/>
      <top/>
      <bottom/>
      <diagonal/>
    </border>
    <border>
      <left/>
      <right/>
      <top style="double">
        <color indexed="24"/>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medium">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right/>
      <top style="medium">
        <color indexed="64"/>
      </top>
      <bottom style="thin">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96">
    <xf numFmtId="164" fontId="0" fillId="0" borderId="0"/>
    <xf numFmtId="0" fontId="33" fillId="16" borderId="0" applyNumberFormat="0" applyBorder="0" applyAlignment="0" applyProtection="0"/>
    <xf numFmtId="0" fontId="33" fillId="2" borderId="0" applyNumberFormat="0" applyBorder="0" applyAlignment="0" applyProtection="0"/>
    <xf numFmtId="0" fontId="33" fillId="17" borderId="0" applyNumberFormat="0" applyBorder="0" applyAlignment="0" applyProtection="0"/>
    <xf numFmtId="0" fontId="33" fillId="4" borderId="0" applyNumberFormat="0" applyBorder="0" applyAlignment="0" applyProtection="0"/>
    <xf numFmtId="0" fontId="33" fillId="18" borderId="0" applyNumberFormat="0" applyBorder="0" applyAlignment="0" applyProtection="0"/>
    <xf numFmtId="0" fontId="33" fillId="5" borderId="0" applyNumberFormat="0" applyBorder="0" applyAlignment="0" applyProtection="0"/>
    <xf numFmtId="0" fontId="33" fillId="19" borderId="0" applyNumberFormat="0" applyBorder="0" applyAlignment="0" applyProtection="0"/>
    <xf numFmtId="0" fontId="33" fillId="3"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5" borderId="0" applyNumberFormat="0" applyBorder="0" applyAlignment="0" applyProtection="0"/>
    <xf numFmtId="0" fontId="33" fillId="22" borderId="0" applyNumberFormat="0" applyBorder="0" applyAlignment="0" applyProtection="0"/>
    <xf numFmtId="0" fontId="33" fillId="6"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7" borderId="0" applyNumberFormat="0" applyBorder="0" applyAlignment="0" applyProtection="0"/>
    <xf numFmtId="0" fontId="33" fillId="25" borderId="0" applyNumberFormat="0" applyBorder="0" applyAlignment="0" applyProtection="0"/>
    <xf numFmtId="0" fontId="33" fillId="8" borderId="0" applyNumberFormat="0" applyBorder="0" applyAlignment="0" applyProtection="0"/>
    <xf numFmtId="0" fontId="33" fillId="26" borderId="0" applyNumberFormat="0" applyBorder="0" applyAlignment="0" applyProtection="0"/>
    <xf numFmtId="0" fontId="33" fillId="6" borderId="0" applyNumberFormat="0" applyBorder="0" applyAlignment="0" applyProtection="0"/>
    <xf numFmtId="0" fontId="33" fillId="27" borderId="0" applyNumberFormat="0" applyBorder="0" applyAlignment="0" applyProtection="0"/>
    <xf numFmtId="0" fontId="33" fillId="5" borderId="0" applyNumberFormat="0" applyBorder="0" applyAlignment="0" applyProtection="0"/>
    <xf numFmtId="0" fontId="34" fillId="28"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11" borderId="0" applyNumberFormat="0" applyBorder="0" applyAlignment="0" applyProtection="0"/>
    <xf numFmtId="0" fontId="34" fillId="30" borderId="0" applyNumberFormat="0" applyBorder="0" applyAlignment="0" applyProtection="0"/>
    <xf numFmtId="0" fontId="34" fillId="12" borderId="0" applyNumberFormat="0" applyBorder="0" applyAlignment="0" applyProtection="0"/>
    <xf numFmtId="0" fontId="34" fillId="31" borderId="0" applyNumberFormat="0" applyBorder="0" applyAlignment="0" applyProtection="0"/>
    <xf numFmtId="0" fontId="34" fillId="13"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3" fontId="5" fillId="0" borderId="0" applyFont="0" applyFill="0" applyBorder="0" applyAlignment="0" applyProtection="0">
      <alignment vertical="top"/>
    </xf>
    <xf numFmtId="3" fontId="4" fillId="0" borderId="0" applyFont="0" applyFill="0" applyBorder="0" applyAlignment="0" applyProtection="0">
      <alignment vertical="top"/>
    </xf>
    <xf numFmtId="3" fontId="4" fillId="0" borderId="0" applyFont="0" applyFill="0" applyBorder="0" applyAlignment="0" applyProtection="0">
      <alignment vertical="top"/>
    </xf>
    <xf numFmtId="3" fontId="4" fillId="0" borderId="0" applyFont="0" applyFill="0" applyBorder="0" applyAlignment="0" applyProtection="0">
      <alignment vertical="top"/>
    </xf>
    <xf numFmtId="3" fontId="4" fillId="0" borderId="0" applyFont="0" applyFill="0" applyBorder="0" applyAlignment="0" applyProtection="0">
      <alignment vertical="top"/>
    </xf>
    <xf numFmtId="5" fontId="5" fillId="0" borderId="0" applyFont="0" applyFill="0" applyBorder="0" applyAlignment="0" applyProtection="0">
      <alignment vertical="top"/>
    </xf>
    <xf numFmtId="5" fontId="4" fillId="0" borderId="0" applyFont="0" applyFill="0" applyBorder="0" applyAlignment="0" applyProtection="0">
      <alignment vertical="top"/>
    </xf>
    <xf numFmtId="5" fontId="4" fillId="0" borderId="0" applyFont="0" applyFill="0" applyBorder="0" applyAlignment="0" applyProtection="0">
      <alignment vertical="top"/>
    </xf>
    <xf numFmtId="5" fontId="4" fillId="0" borderId="0" applyFont="0" applyFill="0" applyBorder="0" applyAlignment="0" applyProtection="0">
      <alignment vertical="top"/>
    </xf>
    <xf numFmtId="5" fontId="4" fillId="0" borderId="0" applyFont="0" applyFill="0" applyBorder="0" applyAlignment="0" applyProtection="0">
      <alignment vertical="top"/>
    </xf>
    <xf numFmtId="0" fontId="5"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0" fontId="4" fillId="0" borderId="0" applyFont="0" applyFill="0" applyBorder="0" applyAlignment="0" applyProtection="0">
      <alignment vertical="top"/>
    </xf>
    <xf numFmtId="2" fontId="5"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2" fontId="4" fillId="0" borderId="0" applyFont="0" applyFill="0" applyBorder="0" applyAlignment="0" applyProtection="0">
      <alignment vertical="top"/>
    </xf>
    <xf numFmtId="0" fontId="6" fillId="0" borderId="0" applyNumberFormat="0" applyFill="0" applyBorder="0" applyAlignment="0" applyProtection="0">
      <alignment vertical="top"/>
    </xf>
    <xf numFmtId="0" fontId="7" fillId="0" borderId="0" applyNumberFormat="0" applyFill="0" applyBorder="0" applyAlignment="0" applyProtection="0">
      <alignment vertical="top"/>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4" fillId="0" borderId="0"/>
    <xf numFmtId="0" fontId="33" fillId="0" borderId="0"/>
    <xf numFmtId="0" fontId="33" fillId="0" borderId="0"/>
    <xf numFmtId="0" fontId="4" fillId="0" borderId="0"/>
    <xf numFmtId="0" fontId="4" fillId="0" borderId="0"/>
    <xf numFmtId="0" fontId="8" fillId="0" borderId="0"/>
    <xf numFmtId="0" fontId="4" fillId="0" borderId="0"/>
    <xf numFmtId="0" fontId="2" fillId="0" borderId="0"/>
    <xf numFmtId="0" fontId="8" fillId="0" borderId="0"/>
    <xf numFmtId="0" fontId="8" fillId="0" borderId="0"/>
    <xf numFmtId="0" fontId="4" fillId="0" borderId="0"/>
    <xf numFmtId="0" fontId="4" fillId="0" borderId="0"/>
    <xf numFmtId="0" fontId="23" fillId="0" borderId="0"/>
    <xf numFmtId="0" fontId="4" fillId="0" borderId="0"/>
    <xf numFmtId="0" fontId="8" fillId="0" borderId="0"/>
    <xf numFmtId="0" fontId="4" fillId="0" borderId="0"/>
    <xf numFmtId="0" fontId="4" fillId="34" borderId="32" applyNumberFormat="0" applyFont="0" applyAlignment="0" applyProtection="0"/>
    <xf numFmtId="0" fontId="4" fillId="34" borderId="32" applyNumberFormat="0" applyFont="0" applyAlignment="0" applyProtection="0"/>
    <xf numFmtId="0" fontId="4" fillId="34" borderId="32" applyNumberFormat="0" applyFont="0" applyAlignment="0" applyProtection="0"/>
    <xf numFmtId="9" fontId="4" fillId="0" borderId="0" applyFont="0" applyFill="0" applyBorder="0" applyAlignment="0" applyProtection="0"/>
    <xf numFmtId="9" fontId="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1" applyNumberFormat="0" applyFont="0" applyFill="0" applyAlignment="0" applyProtection="0">
      <alignment vertical="top"/>
    </xf>
    <xf numFmtId="0" fontId="4" fillId="0" borderId="1" applyNumberFormat="0" applyFont="0" applyFill="0" applyAlignment="0" applyProtection="0">
      <alignment vertical="top"/>
    </xf>
    <xf numFmtId="0" fontId="4" fillId="0" borderId="1" applyNumberFormat="0" applyFont="0" applyFill="0" applyAlignment="0" applyProtection="0">
      <alignment vertical="top"/>
    </xf>
    <xf numFmtId="0" fontId="4" fillId="0" borderId="1" applyNumberFormat="0" applyFont="0" applyFill="0" applyAlignment="0" applyProtection="0">
      <alignment vertical="top"/>
    </xf>
    <xf numFmtId="0" fontId="4" fillId="0" borderId="1" applyNumberFormat="0" applyFont="0" applyFill="0" applyAlignment="0" applyProtection="0">
      <alignment vertical="top"/>
    </xf>
    <xf numFmtId="0" fontId="4" fillId="0" borderId="0"/>
    <xf numFmtId="0" fontId="4" fillId="0" borderId="0"/>
    <xf numFmtId="0" fontId="4" fillId="0" borderId="0"/>
    <xf numFmtId="0" fontId="23" fillId="0" borderId="0"/>
    <xf numFmtId="0" fontId="23" fillId="0" borderId="0"/>
    <xf numFmtId="0" fontId="4" fillId="0" borderId="0"/>
    <xf numFmtId="164" fontId="58" fillId="0" borderId="0"/>
    <xf numFmtId="0" fontId="1" fillId="0" borderId="0"/>
  </cellStyleXfs>
  <cellXfs count="498">
    <xf numFmtId="164" fontId="0" fillId="0" borderId="0" xfId="0"/>
    <xf numFmtId="0" fontId="10" fillId="0" borderId="2" xfId="73" applyFont="1" applyBorder="1" applyAlignment="1" applyProtection="1"/>
    <xf numFmtId="164" fontId="0" fillId="0" borderId="2" xfId="0" applyBorder="1"/>
    <xf numFmtId="0" fontId="8" fillId="0" borderId="0" xfId="73" applyProtection="1"/>
    <xf numFmtId="0" fontId="12" fillId="0" borderId="0" xfId="73" applyFont="1" applyProtection="1"/>
    <xf numFmtId="164" fontId="13" fillId="0" borderId="0" xfId="0" applyFont="1"/>
    <xf numFmtId="0" fontId="14" fillId="0" borderId="2" xfId="70" applyFont="1" applyBorder="1" applyAlignment="1" applyProtection="1">
      <alignment vertical="center"/>
    </xf>
    <xf numFmtId="0" fontId="15" fillId="0" borderId="2" xfId="70" applyFont="1" applyBorder="1" applyAlignment="1" applyProtection="1">
      <alignment vertical="center"/>
    </xf>
    <xf numFmtId="0" fontId="15" fillId="0" borderId="2" xfId="70" applyFont="1" applyBorder="1" applyProtection="1"/>
    <xf numFmtId="0" fontId="17" fillId="0" borderId="0" xfId="70" applyFont="1" applyFill="1" applyBorder="1" applyAlignment="1" applyProtection="1">
      <alignment vertical="center" wrapText="1"/>
    </xf>
    <xf numFmtId="0" fontId="8" fillId="0" borderId="2" xfId="73" applyBorder="1" applyProtection="1"/>
    <xf numFmtId="0" fontId="18" fillId="0" borderId="0" xfId="73" applyFont="1" applyFill="1" applyBorder="1" applyAlignment="1" applyProtection="1">
      <alignment vertical="center" wrapText="1"/>
    </xf>
    <xf numFmtId="0" fontId="8" fillId="0" borderId="0" xfId="73" applyFill="1" applyProtection="1"/>
    <xf numFmtId="0" fontId="22" fillId="0" borderId="0" xfId="73" applyFont="1" applyFill="1" applyBorder="1" applyAlignment="1" applyProtection="1">
      <alignment vertical="center" wrapText="1"/>
    </xf>
    <xf numFmtId="164" fontId="10" fillId="0" borderId="2" xfId="0" applyFont="1" applyBorder="1"/>
    <xf numFmtId="164" fontId="11" fillId="0" borderId="2" xfId="0" applyFont="1" applyBorder="1"/>
    <xf numFmtId="0" fontId="16" fillId="0" borderId="0" xfId="74" applyFont="1" applyFill="1" applyBorder="1" applyAlignment="1">
      <alignment vertical="top" wrapText="1"/>
    </xf>
    <xf numFmtId="0" fontId="16" fillId="0" borderId="0" xfId="74" applyFont="1" applyFill="1" applyBorder="1" applyAlignment="1">
      <alignment vertical="top"/>
    </xf>
    <xf numFmtId="0" fontId="16" fillId="0" borderId="0" xfId="74" applyFont="1" applyFill="1" applyBorder="1" applyAlignment="1">
      <alignment horizontal="center" vertical="top"/>
    </xf>
    <xf numFmtId="0" fontId="2" fillId="0" borderId="0" xfId="74" applyFont="1" applyFill="1" applyBorder="1" applyAlignment="1">
      <alignment vertical="top" wrapText="1"/>
    </xf>
    <xf numFmtId="14" fontId="2" fillId="0" borderId="0" xfId="74" applyNumberFormat="1" applyFont="1" applyFill="1" applyBorder="1" applyAlignment="1">
      <alignment horizontal="center" vertical="center"/>
    </xf>
    <xf numFmtId="0" fontId="2" fillId="0" borderId="0" xfId="74" applyFont="1" applyFill="1" applyBorder="1" applyAlignment="1">
      <alignment horizontal="center" vertical="center" wrapText="1"/>
    </xf>
    <xf numFmtId="14" fontId="2" fillId="0" borderId="0" xfId="74" applyNumberFormat="1" applyFont="1" applyFill="1" applyBorder="1" applyAlignment="1">
      <alignment vertical="center"/>
    </xf>
    <xf numFmtId="0" fontId="2" fillId="0" borderId="0" xfId="74" applyFont="1" applyFill="1" applyBorder="1" applyAlignment="1">
      <alignment vertical="center" wrapText="1"/>
    </xf>
    <xf numFmtId="14" fontId="2" fillId="0" borderId="0" xfId="74" applyNumberFormat="1" applyFont="1" applyFill="1" applyAlignment="1">
      <alignment vertical="top" wrapText="1"/>
    </xf>
    <xf numFmtId="164" fontId="11" fillId="0" borderId="0" xfId="0" applyFont="1"/>
    <xf numFmtId="164" fontId="11" fillId="37" borderId="12" xfId="0" applyFont="1" applyFill="1" applyBorder="1"/>
    <xf numFmtId="164" fontId="11" fillId="37" borderId="7" xfId="0" applyFont="1" applyFill="1" applyBorder="1"/>
    <xf numFmtId="164" fontId="11" fillId="37" borderId="8" xfId="0" applyFont="1" applyFill="1" applyBorder="1"/>
    <xf numFmtId="0" fontId="2" fillId="0" borderId="2" xfId="70" applyFont="1" applyBorder="1" applyAlignment="1" applyProtection="1">
      <alignment vertical="center"/>
    </xf>
    <xf numFmtId="164" fontId="0" fillId="0" borderId="0" xfId="0" applyBorder="1"/>
    <xf numFmtId="164" fontId="11" fillId="0" borderId="0" xfId="0" applyFont="1" applyBorder="1"/>
    <xf numFmtId="0" fontId="3" fillId="0" borderId="0" xfId="74" applyNumberFormat="1" applyFont="1" applyFill="1" applyBorder="1" applyAlignment="1">
      <alignment horizontal="center" vertical="top" wrapText="1"/>
    </xf>
    <xf numFmtId="0" fontId="32" fillId="0" borderId="0" xfId="59" applyFont="1"/>
    <xf numFmtId="0" fontId="17" fillId="0" borderId="0" xfId="59" applyFont="1"/>
    <xf numFmtId="0" fontId="17" fillId="0" borderId="0" xfId="59" applyFont="1" applyAlignment="1">
      <alignment horizontal="center" vertical="top"/>
    </xf>
    <xf numFmtId="0" fontId="31" fillId="0" borderId="0" xfId="59" applyFont="1"/>
    <xf numFmtId="0" fontId="2" fillId="0" borderId="0" xfId="59" applyFont="1"/>
    <xf numFmtId="0" fontId="2" fillId="0" borderId="0" xfId="59" applyFont="1" applyAlignment="1">
      <alignment horizontal="center" vertical="top"/>
    </xf>
    <xf numFmtId="0" fontId="2" fillId="0" borderId="21" xfId="59" applyFont="1" applyBorder="1" applyAlignment="1">
      <alignment horizontal="center" vertical="top" wrapText="1"/>
    </xf>
    <xf numFmtId="0" fontId="2" fillId="0" borderId="22" xfId="59" applyFont="1" applyBorder="1" applyAlignment="1" applyProtection="1">
      <alignment horizontal="left" vertical="top" wrapText="1" indent="1"/>
      <protection locked="0"/>
    </xf>
    <xf numFmtId="166" fontId="2" fillId="0" borderId="21" xfId="59" applyNumberFormat="1" applyFont="1" applyBorder="1" applyAlignment="1" applyProtection="1">
      <alignment horizontal="left" vertical="top" indent="1"/>
      <protection locked="0"/>
    </xf>
    <xf numFmtId="0" fontId="2" fillId="0" borderId="21" xfId="59" applyFont="1" applyBorder="1" applyAlignment="1" applyProtection="1">
      <alignment horizontal="left" vertical="top" indent="1"/>
      <protection locked="0"/>
    </xf>
    <xf numFmtId="0" fontId="35" fillId="34" borderId="22" xfId="75" applyFont="1" applyBorder="1" applyAlignment="1">
      <alignment vertical="center"/>
    </xf>
    <xf numFmtId="0" fontId="35" fillId="34" borderId="21" xfId="75" applyFont="1" applyBorder="1" applyAlignment="1">
      <alignment vertical="center"/>
    </xf>
    <xf numFmtId="0" fontId="35" fillId="34" borderId="21" xfId="75" applyFont="1" applyBorder="1" applyAlignment="1">
      <alignment horizontal="center" vertical="top"/>
    </xf>
    <xf numFmtId="0" fontId="35" fillId="34" borderId="21" xfId="75" applyFont="1" applyBorder="1" applyAlignment="1">
      <alignment horizontal="left" vertical="center"/>
    </xf>
    <xf numFmtId="0" fontId="4" fillId="0" borderId="0" xfId="59" applyAlignment="1">
      <alignment vertical="center"/>
    </xf>
    <xf numFmtId="0" fontId="33" fillId="24" borderId="23" xfId="15" applyBorder="1" applyAlignment="1">
      <alignment vertical="top" wrapText="1"/>
    </xf>
    <xf numFmtId="0" fontId="33" fillId="24" borderId="24" xfId="15" applyBorder="1" applyAlignment="1" applyProtection="1">
      <alignment horizontal="center" vertical="top"/>
      <protection locked="0"/>
    </xf>
    <xf numFmtId="0" fontId="33" fillId="24" borderId="24" xfId="15" applyBorder="1" applyAlignment="1" applyProtection="1">
      <alignment horizontal="left" vertical="top" wrapText="1"/>
      <protection locked="0"/>
    </xf>
    <xf numFmtId="0" fontId="4" fillId="0" borderId="0" xfId="59"/>
    <xf numFmtId="0" fontId="33" fillId="18" borderId="23" xfId="5" applyBorder="1" applyAlignment="1">
      <alignment vertical="top" wrapText="1"/>
    </xf>
    <xf numFmtId="0" fontId="33" fillId="18" borderId="24" xfId="5" applyBorder="1" applyAlignment="1" applyProtection="1">
      <alignment horizontal="center" vertical="top"/>
      <protection locked="0"/>
    </xf>
    <xf numFmtId="0" fontId="33" fillId="18" borderId="24" xfId="5" applyBorder="1" applyAlignment="1" applyProtection="1">
      <alignment horizontal="left" vertical="top" wrapText="1"/>
      <protection locked="0"/>
    </xf>
    <xf numFmtId="0" fontId="33" fillId="24" borderId="25" xfId="15" applyBorder="1" applyAlignment="1">
      <alignment vertical="top" wrapText="1"/>
    </xf>
    <xf numFmtId="0" fontId="33" fillId="24" borderId="26" xfId="15" applyBorder="1" applyAlignment="1" applyProtection="1">
      <alignment horizontal="center" vertical="top"/>
      <protection locked="0"/>
    </xf>
    <xf numFmtId="0" fontId="33" fillId="24" borderId="26" xfId="15" applyBorder="1" applyAlignment="1" applyProtection="1">
      <alignment horizontal="left" vertical="top" wrapText="1"/>
      <protection locked="0"/>
    </xf>
    <xf numFmtId="0" fontId="33" fillId="25" borderId="23" xfId="17" applyBorder="1" applyAlignment="1">
      <alignment vertical="top" wrapText="1"/>
    </xf>
    <xf numFmtId="0" fontId="33" fillId="25" borderId="24" xfId="17" applyBorder="1" applyAlignment="1" applyProtection="1">
      <alignment horizontal="center" vertical="top"/>
      <protection locked="0"/>
    </xf>
    <xf numFmtId="0" fontId="33" fillId="25" borderId="24" xfId="17" applyBorder="1" applyAlignment="1" applyProtection="1">
      <alignment horizontal="left" vertical="top" wrapText="1"/>
      <protection locked="0"/>
    </xf>
    <xf numFmtId="0" fontId="33" fillId="19" borderId="23" xfId="7" applyBorder="1" applyAlignment="1">
      <alignment vertical="top" wrapText="1"/>
    </xf>
    <xf numFmtId="0" fontId="33" fillId="19" borderId="24" xfId="7" applyBorder="1" applyAlignment="1" applyProtection="1">
      <alignment horizontal="center" vertical="top"/>
      <protection locked="0"/>
    </xf>
    <xf numFmtId="0" fontId="33" fillId="19" borderId="24" xfId="7" applyBorder="1" applyAlignment="1" applyProtection="1">
      <alignment horizontal="left" vertical="top" wrapText="1"/>
      <protection locked="0"/>
    </xf>
    <xf numFmtId="0" fontId="33" fillId="27" borderId="23" xfId="21" applyBorder="1" applyAlignment="1">
      <alignment vertical="top" wrapText="1"/>
    </xf>
    <xf numFmtId="0" fontId="33" fillId="27" borderId="24" xfId="21" applyBorder="1" applyAlignment="1" applyProtection="1">
      <alignment horizontal="center" vertical="top"/>
      <protection locked="0"/>
    </xf>
    <xf numFmtId="0" fontId="33" fillId="27" borderId="24" xfId="21" applyBorder="1" applyAlignment="1" applyProtection="1">
      <alignment horizontal="left" vertical="top" wrapText="1"/>
      <protection locked="0"/>
    </xf>
    <xf numFmtId="0" fontId="33" fillId="21" borderId="23" xfId="10" applyBorder="1" applyAlignment="1">
      <alignment vertical="top" wrapText="1"/>
    </xf>
    <xf numFmtId="0" fontId="33" fillId="21" borderId="24" xfId="10" applyBorder="1" applyAlignment="1" applyProtection="1">
      <alignment horizontal="center" vertical="top"/>
      <protection locked="0"/>
    </xf>
    <xf numFmtId="0" fontId="33" fillId="21" borderId="24" xfId="10" applyBorder="1" applyAlignment="1" applyProtection="1">
      <alignment horizontal="left" vertical="top" wrapText="1"/>
      <protection locked="0"/>
    </xf>
    <xf numFmtId="0" fontId="33" fillId="21" borderId="25" xfId="10" applyBorder="1" applyAlignment="1">
      <alignment vertical="top" wrapText="1"/>
    </xf>
    <xf numFmtId="0" fontId="33" fillId="21" borderId="26" xfId="10" applyBorder="1" applyAlignment="1" applyProtection="1">
      <alignment horizontal="left" vertical="top" wrapText="1"/>
      <protection locked="0"/>
    </xf>
    <xf numFmtId="0" fontId="33" fillId="26" borderId="27" xfId="19" applyBorder="1" applyAlignment="1">
      <alignment vertical="top" wrapText="1"/>
    </xf>
    <xf numFmtId="0" fontId="33" fillId="26" borderId="28" xfId="19" applyBorder="1" applyAlignment="1" applyProtection="1">
      <alignment horizontal="center" vertical="top"/>
      <protection locked="0"/>
    </xf>
    <xf numFmtId="0" fontId="33" fillId="26" borderId="28" xfId="19" applyBorder="1" applyAlignment="1" applyProtection="1">
      <alignment vertical="top" wrapText="1"/>
      <protection locked="0"/>
    </xf>
    <xf numFmtId="0" fontId="33" fillId="20" borderId="23" xfId="9" applyBorder="1" applyAlignment="1">
      <alignment vertical="top" wrapText="1"/>
    </xf>
    <xf numFmtId="0" fontId="33" fillId="20" borderId="24" xfId="9" applyBorder="1" applyAlignment="1" applyProtection="1">
      <alignment horizontal="center" vertical="top"/>
      <protection locked="0"/>
    </xf>
    <xf numFmtId="0" fontId="33" fillId="20" borderId="24" xfId="9" applyBorder="1" applyAlignment="1" applyProtection="1">
      <alignment vertical="top" wrapText="1"/>
      <protection locked="0"/>
    </xf>
    <xf numFmtId="0" fontId="33" fillId="26" borderId="25" xfId="19" applyBorder="1" applyAlignment="1">
      <alignment vertical="top" wrapText="1"/>
    </xf>
    <xf numFmtId="0" fontId="33" fillId="26" borderId="26" xfId="19" applyBorder="1" applyAlignment="1" applyProtection="1">
      <alignment horizontal="center" vertical="top"/>
      <protection locked="0"/>
    </xf>
    <xf numFmtId="0" fontId="33" fillId="26" borderId="26" xfId="19" applyBorder="1" applyAlignment="1" applyProtection="1">
      <alignment vertical="top" wrapText="1"/>
      <protection locked="0"/>
    </xf>
    <xf numFmtId="0" fontId="33" fillId="23" borderId="23" xfId="14" applyBorder="1" applyAlignment="1">
      <alignment vertical="top" wrapText="1"/>
    </xf>
    <xf numFmtId="0" fontId="33" fillId="23" borderId="24" xfId="14" applyBorder="1" applyAlignment="1" applyProtection="1">
      <alignment horizontal="center" vertical="top"/>
      <protection locked="0"/>
    </xf>
    <xf numFmtId="0" fontId="33" fillId="23" borderId="24" xfId="14" applyBorder="1" applyAlignment="1" applyProtection="1">
      <alignment horizontal="left" vertical="top" wrapText="1"/>
      <protection locked="0"/>
    </xf>
    <xf numFmtId="0" fontId="33" fillId="17" borderId="23" xfId="3" applyBorder="1" applyAlignment="1">
      <alignment vertical="top" wrapText="1"/>
    </xf>
    <xf numFmtId="0" fontId="33" fillId="17" borderId="24" xfId="3" applyBorder="1" applyAlignment="1" applyProtection="1">
      <alignment horizontal="center" vertical="top"/>
      <protection locked="0"/>
    </xf>
    <xf numFmtId="0" fontId="33" fillId="17" borderId="24" xfId="3" applyBorder="1" applyAlignment="1" applyProtection="1">
      <alignment horizontal="left" vertical="top" wrapText="1"/>
      <protection locked="0"/>
    </xf>
    <xf numFmtId="0" fontId="33" fillId="17" borderId="25" xfId="3" applyBorder="1" applyAlignment="1">
      <alignment vertical="top" wrapText="1"/>
    </xf>
    <xf numFmtId="0" fontId="33" fillId="17" borderId="26" xfId="3" applyBorder="1" applyAlignment="1" applyProtection="1">
      <alignment horizontal="center" vertical="top"/>
      <protection locked="0"/>
    </xf>
    <xf numFmtId="0" fontId="33" fillId="17" borderId="26" xfId="3" applyBorder="1" applyAlignment="1" applyProtection="1">
      <alignment horizontal="left" vertical="top" wrapText="1"/>
      <protection locked="0"/>
    </xf>
    <xf numFmtId="0" fontId="33" fillId="22" borderId="27" xfId="12" applyBorder="1" applyAlignment="1">
      <alignment vertical="top" wrapText="1"/>
    </xf>
    <xf numFmtId="0" fontId="33" fillId="22" borderId="28" xfId="12" applyBorder="1" applyAlignment="1" applyProtection="1">
      <alignment horizontal="center" vertical="top"/>
      <protection locked="0"/>
    </xf>
    <xf numFmtId="0" fontId="33" fillId="22" borderId="24" xfId="12" applyBorder="1" applyAlignment="1" applyProtection="1">
      <alignment horizontal="left" vertical="top" wrapText="1"/>
      <protection locked="0"/>
    </xf>
    <xf numFmtId="0" fontId="33" fillId="16" borderId="23" xfId="1" applyBorder="1" applyAlignment="1">
      <alignment vertical="top" wrapText="1"/>
    </xf>
    <xf numFmtId="0" fontId="33" fillId="16" borderId="24" xfId="1" applyBorder="1" applyAlignment="1" applyProtection="1">
      <alignment horizontal="center" vertical="top"/>
      <protection locked="0"/>
    </xf>
    <xf numFmtId="0" fontId="33" fillId="16" borderId="24" xfId="1" applyBorder="1" applyAlignment="1" applyProtection="1">
      <alignment horizontal="left" vertical="top" wrapText="1"/>
      <protection locked="0"/>
    </xf>
    <xf numFmtId="0" fontId="33" fillId="22" borderId="23" xfId="12" applyBorder="1" applyAlignment="1">
      <alignment vertical="top" wrapText="1"/>
    </xf>
    <xf numFmtId="0" fontId="33" fillId="22" borderId="24" xfId="12" applyBorder="1" applyAlignment="1" applyProtection="1">
      <alignment horizontal="center" vertical="top"/>
      <protection locked="0"/>
    </xf>
    <xf numFmtId="0" fontId="33" fillId="16" borderId="25" xfId="1" applyBorder="1" applyAlignment="1">
      <alignment vertical="top" wrapText="1"/>
    </xf>
    <xf numFmtId="0" fontId="33" fillId="16" borderId="26" xfId="1" applyBorder="1" applyAlignment="1" applyProtection="1">
      <alignment horizontal="center" vertical="top"/>
      <protection locked="0"/>
    </xf>
    <xf numFmtId="0" fontId="33" fillId="16" borderId="26" xfId="1" applyBorder="1" applyAlignment="1" applyProtection="1">
      <alignment horizontal="left" vertical="top" wrapText="1"/>
      <protection locked="0"/>
    </xf>
    <xf numFmtId="0" fontId="33" fillId="18" borderId="25" xfId="5" applyBorder="1" applyAlignment="1">
      <alignment vertical="top" wrapText="1"/>
    </xf>
    <xf numFmtId="0" fontId="33" fillId="18" borderId="26" xfId="5" applyBorder="1" applyAlignment="1" applyProtection="1">
      <alignment horizontal="left" vertical="top" wrapText="1"/>
      <protection locked="0"/>
    </xf>
    <xf numFmtId="0" fontId="34" fillId="31" borderId="27" xfId="29" applyBorder="1" applyAlignment="1">
      <alignment horizontal="center" vertical="center" textRotation="90" wrapText="1"/>
    </xf>
    <xf numFmtId="0" fontId="33" fillId="25" borderId="22" xfId="17" applyBorder="1" applyAlignment="1">
      <alignment vertical="top" wrapText="1"/>
    </xf>
    <xf numFmtId="0" fontId="33" fillId="25" borderId="28" xfId="17" applyBorder="1" applyAlignment="1" applyProtection="1">
      <alignment horizontal="center" vertical="top"/>
      <protection locked="0"/>
    </xf>
    <xf numFmtId="0" fontId="33" fillId="25" borderId="28" xfId="17" applyBorder="1" applyAlignment="1" applyProtection="1">
      <alignment horizontal="left" vertical="top" wrapText="1"/>
      <protection locked="0"/>
    </xf>
    <xf numFmtId="0" fontId="34" fillId="33" borderId="22" xfId="32" applyBorder="1" applyAlignment="1">
      <alignment horizontal="center" vertical="center" textRotation="90" wrapText="1"/>
    </xf>
    <xf numFmtId="0" fontId="33" fillId="21" borderId="28" xfId="10" applyBorder="1" applyAlignment="1" applyProtection="1">
      <alignment horizontal="center" vertical="top"/>
      <protection locked="0"/>
    </xf>
    <xf numFmtId="0" fontId="33" fillId="21" borderId="21" xfId="10" applyBorder="1" applyAlignment="1" applyProtection="1">
      <alignment horizontal="left" vertical="top" wrapText="1"/>
      <protection locked="0"/>
    </xf>
    <xf numFmtId="0" fontId="33" fillId="26" borderId="24" xfId="19" applyBorder="1" applyAlignment="1" applyProtection="1">
      <alignment horizontal="left" vertical="top" wrapText="1"/>
      <protection locked="0"/>
    </xf>
    <xf numFmtId="0" fontId="33" fillId="20" borderId="24" xfId="9" applyBorder="1" applyAlignment="1" applyProtection="1">
      <alignment horizontal="left" vertical="top" wrapText="1"/>
      <protection locked="0"/>
    </xf>
    <xf numFmtId="0" fontId="33" fillId="26" borderId="23" xfId="19" applyBorder="1" applyAlignment="1">
      <alignment vertical="top" wrapText="1"/>
    </xf>
    <xf numFmtId="0" fontId="33" fillId="26" borderId="24" xfId="19" applyBorder="1" applyAlignment="1" applyProtection="1">
      <alignment horizontal="center" vertical="top"/>
      <protection locked="0"/>
    </xf>
    <xf numFmtId="0" fontId="33" fillId="20" borderId="25" xfId="9" applyBorder="1" applyAlignment="1">
      <alignment vertical="top" wrapText="1"/>
    </xf>
    <xf numFmtId="0" fontId="33" fillId="20" borderId="26" xfId="9" applyBorder="1" applyAlignment="1" applyProtection="1">
      <alignment horizontal="center" vertical="top"/>
      <protection locked="0"/>
    </xf>
    <xf numFmtId="0" fontId="33" fillId="20" borderId="26" xfId="9" applyBorder="1" applyAlignment="1" applyProtection="1">
      <alignment horizontal="left" vertical="top" wrapText="1"/>
      <protection locked="0"/>
    </xf>
    <xf numFmtId="0" fontId="4" fillId="0" borderId="0" xfId="59" applyAlignment="1">
      <alignment horizontal="center" vertical="top"/>
    </xf>
    <xf numFmtId="0" fontId="4" fillId="0" borderId="0" xfId="59" applyAlignment="1"/>
    <xf numFmtId="0" fontId="10" fillId="0" borderId="2" xfId="88" applyFont="1" applyBorder="1"/>
    <xf numFmtId="0" fontId="17" fillId="0" borderId="2" xfId="89" applyFont="1" applyBorder="1" applyAlignment="1" applyProtection="1">
      <alignment horizontal="right" vertical="center"/>
    </xf>
    <xf numFmtId="0" fontId="26" fillId="0" borderId="2" xfId="88" applyFont="1" applyBorder="1" applyAlignment="1">
      <alignment vertical="center"/>
    </xf>
    <xf numFmtId="0" fontId="25" fillId="0" borderId="2" xfId="91" applyFont="1" applyBorder="1" applyAlignment="1" applyProtection="1">
      <alignment vertical="center"/>
    </xf>
    <xf numFmtId="0" fontId="17" fillId="0" borderId="2" xfId="91" applyFont="1" applyBorder="1" applyAlignment="1" applyProtection="1">
      <alignment horizontal="right" vertical="center"/>
    </xf>
    <xf numFmtId="0" fontId="18" fillId="0" borderId="2" xfId="90" applyFont="1" applyFill="1" applyBorder="1" applyAlignment="1" applyProtection="1">
      <alignment vertical="center"/>
    </xf>
    <xf numFmtId="0" fontId="11" fillId="0" borderId="2" xfId="88" applyFont="1" applyBorder="1" applyAlignment="1">
      <alignment horizontal="right"/>
    </xf>
    <xf numFmtId="0" fontId="26" fillId="0" borderId="0" xfId="88" applyFont="1" applyAlignment="1">
      <alignment vertical="center"/>
    </xf>
    <xf numFmtId="0" fontId="26" fillId="0" borderId="0" xfId="88" applyFont="1" applyBorder="1" applyAlignment="1">
      <alignment vertical="center"/>
    </xf>
    <xf numFmtId="0" fontId="25" fillId="0" borderId="0" xfId="90" applyFont="1" applyAlignment="1">
      <alignment vertical="center"/>
    </xf>
    <xf numFmtId="0" fontId="2" fillId="0" borderId="2" xfId="91" applyFont="1" applyBorder="1" applyAlignment="1" applyProtection="1">
      <alignment vertical="center"/>
    </xf>
    <xf numFmtId="0" fontId="25" fillId="0" borderId="2" xfId="90" applyFont="1" applyBorder="1" applyAlignment="1" applyProtection="1">
      <alignment vertical="center"/>
    </xf>
    <xf numFmtId="0" fontId="16" fillId="0" borderId="0" xfId="91" applyFont="1" applyBorder="1" applyAlignment="1" applyProtection="1">
      <alignment horizontal="left" vertical="center"/>
    </xf>
    <xf numFmtId="0" fontId="25" fillId="0" borderId="0" xfId="90" applyFont="1" applyBorder="1" applyAlignment="1" applyProtection="1">
      <alignment vertical="center"/>
    </xf>
    <xf numFmtId="0" fontId="25" fillId="0" borderId="0" xfId="91" applyFont="1" applyBorder="1" applyAlignment="1" applyProtection="1">
      <alignment vertical="center"/>
    </xf>
    <xf numFmtId="0" fontId="36" fillId="0" borderId="0" xfId="91" applyFont="1" applyBorder="1" applyAlignment="1" applyProtection="1">
      <alignment horizontal="left" vertical="center"/>
    </xf>
    <xf numFmtId="0" fontId="25" fillId="0" borderId="0" xfId="90" applyFont="1" applyAlignment="1" applyProtection="1">
      <alignment vertical="center"/>
    </xf>
    <xf numFmtId="0" fontId="25" fillId="0" borderId="0" xfId="91" applyFont="1" applyBorder="1" applyAlignment="1" applyProtection="1">
      <alignment horizontal="left" vertical="center"/>
    </xf>
    <xf numFmtId="0" fontId="37" fillId="0" borderId="0" xfId="71" applyFont="1" applyBorder="1" applyAlignment="1" applyProtection="1">
      <alignment horizontal="left" indent="1"/>
    </xf>
    <xf numFmtId="0" fontId="38" fillId="0" borderId="0" xfId="71" applyFont="1" applyBorder="1" applyAlignment="1" applyProtection="1">
      <alignment horizontal="left" vertical="center"/>
    </xf>
    <xf numFmtId="0" fontId="16" fillId="0" borderId="0" xfId="72" applyFont="1" applyAlignment="1">
      <alignment wrapText="1"/>
    </xf>
    <xf numFmtId="0" fontId="39" fillId="0" borderId="0" xfId="71" applyFont="1" applyBorder="1" applyAlignment="1" applyProtection="1">
      <alignment horizontal="right" vertical="top"/>
    </xf>
    <xf numFmtId="0" fontId="39" fillId="0" borderId="0" xfId="91" applyFont="1" applyBorder="1" applyAlignment="1" applyProtection="1">
      <alignment horizontal="right" vertical="center"/>
    </xf>
    <xf numFmtId="0" fontId="17" fillId="0" borderId="0" xfId="91" applyFont="1" applyBorder="1" applyAlignment="1" applyProtection="1">
      <alignment horizontal="left" vertical="center"/>
    </xf>
    <xf numFmtId="0" fontId="2" fillId="0" borderId="2" xfId="92" applyFont="1" applyBorder="1" applyAlignment="1" applyProtection="1">
      <alignment vertical="center"/>
    </xf>
    <xf numFmtId="0" fontId="25" fillId="0" borderId="2" xfId="92" applyFont="1" applyBorder="1" applyAlignment="1" applyProtection="1">
      <alignment vertical="center"/>
    </xf>
    <xf numFmtId="0" fontId="25" fillId="0" borderId="2" xfId="93" applyFont="1" applyBorder="1" applyAlignment="1" applyProtection="1">
      <alignment vertical="center"/>
    </xf>
    <xf numFmtId="0" fontId="17" fillId="0" borderId="2" xfId="92" applyFont="1" applyBorder="1"/>
    <xf numFmtId="0" fontId="17" fillId="0" borderId="2" xfId="93" applyFont="1" applyBorder="1"/>
    <xf numFmtId="0" fontId="16" fillId="42" borderId="19" xfId="88" applyFont="1" applyFill="1" applyBorder="1" applyAlignment="1">
      <alignment horizontal="left"/>
    </xf>
    <xf numFmtId="0" fontId="16" fillId="42" borderId="20" xfId="88" applyFont="1" applyFill="1" applyBorder="1" applyAlignment="1">
      <alignment horizontal="left"/>
    </xf>
    <xf numFmtId="0" fontId="16" fillId="42" borderId="4" xfId="88" applyFont="1" applyFill="1" applyBorder="1" applyAlignment="1">
      <alignment horizontal="left"/>
    </xf>
    <xf numFmtId="0" fontId="16" fillId="42" borderId="17" xfId="88" applyFont="1" applyFill="1" applyBorder="1" applyAlignment="1">
      <alignment horizontal="left"/>
    </xf>
    <xf numFmtId="0" fontId="16" fillId="43" borderId="33" xfId="88" applyFont="1" applyFill="1" applyBorder="1" applyAlignment="1"/>
    <xf numFmtId="0" fontId="16" fillId="43" borderId="30" xfId="88" applyFont="1" applyFill="1" applyBorder="1" applyAlignment="1"/>
    <xf numFmtId="0" fontId="26" fillId="43" borderId="0" xfId="88" applyFont="1" applyFill="1" applyAlignment="1">
      <alignment vertical="center"/>
    </xf>
    <xf numFmtId="0" fontId="4" fillId="0" borderId="0" xfId="88"/>
    <xf numFmtId="0" fontId="2" fillId="0" borderId="2" xfId="72" applyFont="1" applyBorder="1"/>
    <xf numFmtId="0" fontId="25" fillId="0" borderId="0" xfId="93" applyFont="1" applyAlignment="1">
      <alignment vertical="center"/>
    </xf>
    <xf numFmtId="0" fontId="16" fillId="45" borderId="6" xfId="72" applyFont="1" applyFill="1" applyBorder="1" applyAlignment="1">
      <alignment horizontal="center" vertical="center" wrapText="1"/>
    </xf>
    <xf numFmtId="0" fontId="16" fillId="46" borderId="6" xfId="71" applyFont="1" applyFill="1" applyBorder="1" applyAlignment="1">
      <alignment horizontal="center" wrapText="1"/>
    </xf>
    <xf numFmtId="0" fontId="16" fillId="47" borderId="6" xfId="71" applyFont="1" applyFill="1" applyBorder="1" applyAlignment="1">
      <alignment horizontal="center" wrapText="1"/>
    </xf>
    <xf numFmtId="0" fontId="16" fillId="48" borderId="6" xfId="71" applyFont="1" applyFill="1" applyBorder="1" applyAlignment="1">
      <alignment horizontal="center" wrapText="1"/>
    </xf>
    <xf numFmtId="0" fontId="16" fillId="49" borderId="6" xfId="71" applyFont="1" applyFill="1" applyBorder="1" applyAlignment="1">
      <alignment horizontal="center" wrapText="1"/>
    </xf>
    <xf numFmtId="0" fontId="16" fillId="50" borderId="5" xfId="71" applyFont="1" applyFill="1" applyBorder="1" applyAlignment="1">
      <alignment horizontal="center" wrapText="1"/>
    </xf>
    <xf numFmtId="0" fontId="16" fillId="51" borderId="6" xfId="71" applyFont="1" applyFill="1" applyBorder="1" applyAlignment="1">
      <alignment horizontal="center" wrapText="1"/>
    </xf>
    <xf numFmtId="0" fontId="16" fillId="52" borderId="6" xfId="71" applyFont="1" applyFill="1" applyBorder="1" applyAlignment="1">
      <alignment horizontal="center" wrapText="1"/>
    </xf>
    <xf numFmtId="0" fontId="16" fillId="45" borderId="7" xfId="72" applyFont="1" applyFill="1" applyBorder="1" applyAlignment="1">
      <alignment horizontal="center" vertical="center"/>
    </xf>
    <xf numFmtId="0" fontId="16" fillId="46" borderId="7" xfId="71" applyFont="1" applyFill="1" applyBorder="1" applyAlignment="1" applyProtection="1">
      <alignment horizontal="center" vertical="center"/>
    </xf>
    <xf numFmtId="0" fontId="16" fillId="50" borderId="15" xfId="71" applyNumberFormat="1" applyFont="1" applyFill="1" applyBorder="1" applyAlignment="1">
      <alignment horizontal="center" vertical="center"/>
    </xf>
    <xf numFmtId="10" fontId="16" fillId="51" borderId="7" xfId="78" applyNumberFormat="1" applyFont="1" applyFill="1" applyBorder="1" applyAlignment="1">
      <alignment horizontal="center" vertical="center"/>
    </xf>
    <xf numFmtId="0" fontId="16" fillId="52" borderId="7" xfId="71" applyFont="1" applyFill="1" applyBorder="1" applyAlignment="1">
      <alignment horizontal="center" vertical="center"/>
    </xf>
    <xf numFmtId="0" fontId="16" fillId="47" borderId="8" xfId="71" applyNumberFormat="1" applyFont="1" applyFill="1" applyBorder="1" applyAlignment="1">
      <alignment horizontal="center" vertical="center"/>
    </xf>
    <xf numFmtId="0" fontId="16" fillId="48" borderId="8" xfId="71" applyFont="1" applyFill="1" applyBorder="1" applyAlignment="1">
      <alignment horizontal="center" vertical="center"/>
    </xf>
    <xf numFmtId="0" fontId="16" fillId="49" borderId="8" xfId="71" applyFont="1" applyFill="1" applyBorder="1" applyAlignment="1">
      <alignment horizontal="center" vertical="center"/>
    </xf>
    <xf numFmtId="0" fontId="16" fillId="53" borderId="3" xfId="71" applyFont="1" applyFill="1" applyBorder="1" applyAlignment="1">
      <alignment vertical="center"/>
    </xf>
    <xf numFmtId="0" fontId="16" fillId="53" borderId="4" xfId="88" applyFont="1" applyFill="1" applyBorder="1" applyAlignment="1">
      <alignment vertical="center"/>
    </xf>
    <xf numFmtId="0" fontId="16" fillId="53" borderId="4" xfId="71" applyFont="1" applyFill="1" applyBorder="1" applyAlignment="1">
      <alignment horizontal="right" vertical="center"/>
    </xf>
    <xf numFmtId="0" fontId="16" fillId="53" borderId="17" xfId="71" applyFont="1" applyFill="1" applyBorder="1" applyAlignment="1">
      <alignment horizontal="left" vertical="center"/>
    </xf>
    <xf numFmtId="167" fontId="25" fillId="0" borderId="0" xfId="93" applyNumberFormat="1" applyFont="1" applyAlignment="1">
      <alignment vertical="center"/>
    </xf>
    <xf numFmtId="0" fontId="16" fillId="53" borderId="3" xfId="71" applyFont="1" applyFill="1" applyBorder="1" applyAlignment="1">
      <alignment horizontal="right" vertical="center"/>
    </xf>
    <xf numFmtId="0" fontId="41" fillId="0" borderId="0" xfId="88" applyFont="1" applyAlignment="1">
      <alignment vertical="center"/>
    </xf>
    <xf numFmtId="0" fontId="25" fillId="0" borderId="0" xfId="91" applyFont="1" applyAlignment="1">
      <alignment vertical="center"/>
    </xf>
    <xf numFmtId="0" fontId="27" fillId="0" borderId="0" xfId="88" applyFont="1" applyAlignment="1">
      <alignment vertical="center"/>
    </xf>
    <xf numFmtId="0" fontId="39" fillId="0" borderId="0" xfId="71" applyFont="1" applyBorder="1" applyAlignment="1" applyProtection="1">
      <alignment horizontal="right" vertical="center"/>
    </xf>
    <xf numFmtId="0" fontId="16" fillId="0" borderId="0" xfId="72" applyFont="1" applyAlignment="1" applyProtection="1">
      <alignment vertical="center" wrapText="1"/>
    </xf>
    <xf numFmtId="0" fontId="16" fillId="0" borderId="0" xfId="72" applyFont="1" applyAlignment="1" applyProtection="1">
      <alignment vertical="top" wrapText="1"/>
    </xf>
    <xf numFmtId="164" fontId="16" fillId="0" borderId="0" xfId="0" applyFont="1"/>
    <xf numFmtId="0" fontId="2" fillId="0" borderId="2" xfId="70" quotePrefix="1" applyFont="1" applyBorder="1" applyAlignment="1" applyProtection="1">
      <alignment horizontal="right" vertical="center"/>
    </xf>
    <xf numFmtId="0" fontId="18" fillId="0" borderId="15" xfId="70" applyNumberFormat="1" applyFont="1" applyFill="1" applyBorder="1" applyAlignment="1" applyProtection="1">
      <alignment horizontal="left" vertical="center" indent="1"/>
      <protection locked="0"/>
    </xf>
    <xf numFmtId="0" fontId="2" fillId="0" borderId="2" xfId="70" applyFont="1" applyBorder="1" applyProtection="1"/>
    <xf numFmtId="0" fontId="17" fillId="0" borderId="2" xfId="70" applyFont="1" applyBorder="1" applyProtection="1"/>
    <xf numFmtId="0" fontId="4" fillId="0" borderId="0" xfId="70" applyAlignment="1" applyProtection="1">
      <alignment vertical="center"/>
    </xf>
    <xf numFmtId="164" fontId="0" fillId="0" borderId="0" xfId="0" applyAlignment="1">
      <alignment vertical="center"/>
    </xf>
    <xf numFmtId="14" fontId="4" fillId="0" borderId="2" xfId="70" applyNumberFormat="1" applyBorder="1" applyAlignment="1" applyProtection="1">
      <alignment vertical="center"/>
    </xf>
    <xf numFmtId="0" fontId="4" fillId="0" borderId="2" xfId="70" applyBorder="1" applyAlignment="1" applyProtection="1">
      <alignment vertical="center"/>
    </xf>
    <xf numFmtId="0" fontId="16" fillId="53" borderId="4" xfId="71" applyNumberFormat="1" applyFont="1" applyFill="1" applyBorder="1" applyAlignment="1">
      <alignment horizontal="center" vertical="center"/>
    </xf>
    <xf numFmtId="164" fontId="11" fillId="0" borderId="0" xfId="0" applyFont="1" applyAlignment="1">
      <alignment horizontal="center"/>
    </xf>
    <xf numFmtId="164" fontId="11" fillId="53" borderId="8" xfId="0" applyFont="1" applyFill="1" applyBorder="1" applyAlignment="1">
      <alignment horizontal="center"/>
    </xf>
    <xf numFmtId="164" fontId="11" fillId="54" borderId="8" xfId="0" applyFont="1" applyFill="1" applyBorder="1" applyAlignment="1">
      <alignment horizontal="center"/>
    </xf>
    <xf numFmtId="164" fontId="11" fillId="55" borderId="8" xfId="0" applyFont="1" applyFill="1" applyBorder="1" applyAlignment="1">
      <alignment horizontal="center"/>
    </xf>
    <xf numFmtId="164" fontId="11" fillId="56" borderId="8" xfId="0" applyFont="1" applyFill="1" applyBorder="1" applyAlignment="1">
      <alignment horizontal="center"/>
    </xf>
    <xf numFmtId="164" fontId="11" fillId="56" borderId="0" xfId="0" applyFont="1" applyFill="1" applyBorder="1" applyAlignment="1">
      <alignment horizontal="center"/>
    </xf>
    <xf numFmtId="165" fontId="18" fillId="0" borderId="9" xfId="0" applyNumberFormat="1" applyFont="1" applyFill="1" applyBorder="1" applyAlignment="1" applyProtection="1">
      <alignment horizontal="left" vertical="center" indent="1"/>
      <protection locked="0"/>
    </xf>
    <xf numFmtId="0" fontId="20" fillId="15" borderId="3" xfId="73" applyFont="1" applyFill="1" applyBorder="1" applyAlignment="1" applyProtection="1">
      <alignment vertical="center"/>
    </xf>
    <xf numFmtId="0" fontId="8" fillId="0" borderId="0" xfId="73" applyAlignment="1" applyProtection="1"/>
    <xf numFmtId="164" fontId="2" fillId="0" borderId="0" xfId="0" applyFont="1"/>
    <xf numFmtId="164" fontId="0" fillId="0" borderId="0" xfId="0" applyAlignment="1">
      <alignment horizontal="left"/>
    </xf>
    <xf numFmtId="164" fontId="11" fillId="56" borderId="14" xfId="0" applyFont="1" applyFill="1" applyBorder="1" applyAlignment="1"/>
    <xf numFmtId="0" fontId="16" fillId="53" borderId="0" xfId="71" applyFont="1" applyFill="1" applyBorder="1" applyAlignment="1">
      <alignment vertical="center"/>
    </xf>
    <xf numFmtId="0" fontId="16" fillId="53" borderId="0" xfId="88" applyFont="1" applyFill="1" applyBorder="1" applyAlignment="1">
      <alignment vertical="center"/>
    </xf>
    <xf numFmtId="0" fontId="16" fillId="42" borderId="38" xfId="88" applyFont="1" applyFill="1" applyBorder="1" applyAlignment="1">
      <alignment vertical="center"/>
    </xf>
    <xf numFmtId="0" fontId="16" fillId="42" borderId="39" xfId="88" applyFont="1" applyFill="1" applyBorder="1" applyAlignment="1">
      <alignment vertical="center"/>
    </xf>
    <xf numFmtId="0" fontId="18" fillId="0" borderId="11" xfId="70" applyFont="1" applyFill="1" applyBorder="1" applyAlignment="1" applyProtection="1">
      <alignment horizontal="left" vertical="center" indent="1"/>
      <protection locked="0"/>
    </xf>
    <xf numFmtId="0" fontId="18" fillId="0" borderId="8" xfId="70" applyFont="1" applyFill="1" applyBorder="1" applyAlignment="1" applyProtection="1">
      <alignment horizontal="center" vertical="center"/>
      <protection locked="0"/>
    </xf>
    <xf numFmtId="164" fontId="45" fillId="57" borderId="4" xfId="0" applyFont="1" applyFill="1" applyBorder="1" applyAlignment="1"/>
    <xf numFmtId="164" fontId="45" fillId="57" borderId="17" xfId="0" applyFont="1" applyFill="1" applyBorder="1" applyAlignment="1"/>
    <xf numFmtId="164" fontId="45" fillId="57" borderId="4" xfId="0" applyFont="1" applyFill="1" applyBorder="1" applyAlignment="1">
      <alignment horizontal="left"/>
    </xf>
    <xf numFmtId="0" fontId="29" fillId="0" borderId="0" xfId="71" applyFont="1" applyBorder="1" applyAlignment="1" applyProtection="1">
      <alignment horizontal="right" vertical="top"/>
    </xf>
    <xf numFmtId="0" fontId="49" fillId="0" borderId="0" xfId="71" applyFont="1" applyBorder="1" applyAlignment="1" applyProtection="1">
      <alignment horizontal="right" vertical="top"/>
    </xf>
    <xf numFmtId="0" fontId="49" fillId="0" borderId="0" xfId="71" applyFont="1" applyBorder="1" applyAlignment="1" applyProtection="1">
      <alignment horizontal="right" vertical="center"/>
    </xf>
    <xf numFmtId="0" fontId="52" fillId="0" borderId="0" xfId="71" applyFont="1" applyBorder="1" applyAlignment="1" applyProtection="1">
      <alignment horizontal="right" vertical="center"/>
    </xf>
    <xf numFmtId="0" fontId="49" fillId="0" borderId="8" xfId="93" applyFont="1" applyFill="1" applyBorder="1" applyAlignment="1" applyProtection="1">
      <alignment horizontal="center" vertical="top"/>
    </xf>
    <xf numFmtId="0" fontId="16" fillId="40" borderId="43" xfId="92" applyFont="1" applyFill="1" applyBorder="1" applyAlignment="1" applyProtection="1">
      <alignment horizontal="center" vertical="center" wrapText="1"/>
    </xf>
    <xf numFmtId="0" fontId="49" fillId="41" borderId="47" xfId="93" applyFont="1" applyFill="1" applyBorder="1" applyAlignment="1" applyProtection="1">
      <alignment horizontal="center" vertical="top"/>
    </xf>
    <xf numFmtId="0" fontId="49" fillId="45" borderId="7" xfId="72" applyFont="1" applyFill="1" applyBorder="1" applyAlignment="1">
      <alignment horizontal="center" vertical="center"/>
    </xf>
    <xf numFmtId="164" fontId="49" fillId="42" borderId="19" xfId="0" applyFont="1" applyFill="1" applyBorder="1" applyAlignment="1">
      <alignment horizontal="right"/>
    </xf>
    <xf numFmtId="164" fontId="49" fillId="42" borderId="4" xfId="0" applyFont="1" applyFill="1" applyBorder="1" applyAlignment="1">
      <alignment horizontal="right"/>
    </xf>
    <xf numFmtId="0" fontId="17" fillId="36" borderId="15" xfId="73" applyFont="1" applyFill="1" applyBorder="1" applyAlignment="1" applyProtection="1">
      <alignment horizontal="center" vertical="center" wrapText="1"/>
    </xf>
    <xf numFmtId="0" fontId="49" fillId="41" borderId="8" xfId="93" applyFont="1" applyFill="1" applyBorder="1" applyAlignment="1" applyProtection="1">
      <alignment horizontal="center" vertical="top"/>
    </xf>
    <xf numFmtId="164" fontId="11" fillId="56" borderId="3" xfId="0" applyFont="1" applyFill="1" applyBorder="1" applyAlignment="1">
      <alignment horizontal="center"/>
    </xf>
    <xf numFmtId="0" fontId="28" fillId="0" borderId="3" xfId="73" applyFont="1" applyFill="1" applyBorder="1" applyAlignment="1" applyProtection="1">
      <alignment horizontal="center" vertical="center"/>
      <protection locked="0"/>
    </xf>
    <xf numFmtId="0" fontId="28" fillId="0" borderId="8" xfId="73" applyFont="1" applyFill="1" applyBorder="1" applyAlignment="1" applyProtection="1">
      <alignment horizontal="center" vertical="center"/>
      <protection locked="0"/>
    </xf>
    <xf numFmtId="0" fontId="28" fillId="36" borderId="8" xfId="73" applyFont="1" applyFill="1" applyBorder="1" applyAlignment="1" applyProtection="1">
      <alignment horizontal="center" vertical="center" shrinkToFit="1"/>
    </xf>
    <xf numFmtId="0" fontId="28" fillId="0" borderId="7" xfId="73" applyFont="1" applyFill="1" applyBorder="1" applyAlignment="1" applyProtection="1">
      <alignment horizontal="center" vertical="center"/>
      <protection locked="0"/>
    </xf>
    <xf numFmtId="0" fontId="28" fillId="36" borderId="7" xfId="73" applyFont="1" applyFill="1" applyBorder="1" applyAlignment="1" applyProtection="1">
      <alignment horizontal="center" vertical="center" shrinkToFit="1"/>
    </xf>
    <xf numFmtId="0" fontId="54" fillId="36" borderId="3" xfId="73" applyFont="1" applyFill="1" applyBorder="1" applyProtection="1"/>
    <xf numFmtId="0" fontId="55" fillId="36" borderId="3" xfId="73" applyFont="1" applyFill="1" applyBorder="1" applyProtection="1"/>
    <xf numFmtId="164" fontId="55" fillId="36" borderId="3" xfId="0" applyFont="1" applyFill="1" applyBorder="1"/>
    <xf numFmtId="0" fontId="18" fillId="0" borderId="17" xfId="70" applyFont="1" applyFill="1" applyBorder="1" applyAlignment="1" applyProtection="1">
      <alignment horizontal="left" vertical="center" indent="1"/>
      <protection locked="0"/>
    </xf>
    <xf numFmtId="0" fontId="28" fillId="36" borderId="8" xfId="73" applyFont="1" applyFill="1" applyBorder="1" applyAlignment="1" applyProtection="1">
      <alignment horizontal="center" vertical="center"/>
    </xf>
    <xf numFmtId="0" fontId="28" fillId="36" borderId="11" xfId="73" applyFont="1" applyFill="1" applyBorder="1" applyAlignment="1" applyProtection="1">
      <alignment horizontal="center" vertical="center"/>
    </xf>
    <xf numFmtId="0" fontId="16" fillId="0" borderId="0" xfId="72" applyFont="1" applyAlignment="1" applyProtection="1">
      <alignment vertical="top" wrapText="1"/>
    </xf>
    <xf numFmtId="0" fontId="16" fillId="0" borderId="0" xfId="72" applyFont="1" applyAlignment="1" applyProtection="1">
      <alignment vertical="center" wrapText="1"/>
    </xf>
    <xf numFmtId="0" fontId="18" fillId="0" borderId="8" xfId="70" applyFont="1" applyFill="1" applyBorder="1" applyAlignment="1" applyProtection="1">
      <alignment horizontal="left" vertical="center" indent="1" shrinkToFit="1"/>
      <protection locked="0"/>
    </xf>
    <xf numFmtId="0" fontId="20" fillId="15" borderId="4" xfId="73" applyFont="1" applyFill="1" applyBorder="1" applyAlignment="1" applyProtection="1">
      <alignment vertical="center"/>
    </xf>
    <xf numFmtId="0" fontId="56" fillId="36" borderId="4" xfId="70" applyFont="1" applyFill="1" applyBorder="1" applyAlignment="1" applyProtection="1">
      <alignment horizontal="center" vertical="center"/>
    </xf>
    <xf numFmtId="0" fontId="56" fillId="36" borderId="31" xfId="73" applyFont="1" applyFill="1" applyBorder="1" applyAlignment="1" applyProtection="1">
      <alignment vertical="center"/>
    </xf>
    <xf numFmtId="0" fontId="56" fillId="36" borderId="30" xfId="73" applyFont="1" applyFill="1" applyBorder="1" applyAlignment="1" applyProtection="1">
      <alignment vertical="center"/>
    </xf>
    <xf numFmtId="0" fontId="17" fillId="36" borderId="9" xfId="0" applyNumberFormat="1" applyFont="1" applyFill="1" applyBorder="1" applyAlignment="1" applyProtection="1">
      <alignment horizontal="center" vertical="center"/>
    </xf>
    <xf numFmtId="0" fontId="14" fillId="0" borderId="2" xfId="70" applyFont="1" applyBorder="1" applyAlignment="1" applyProtection="1">
      <alignment vertical="center"/>
    </xf>
    <xf numFmtId="0" fontId="18" fillId="0" borderId="7" xfId="70" applyNumberFormat="1" applyFont="1" applyFill="1" applyBorder="1" applyAlignment="1" applyProtection="1">
      <alignment horizontal="left" vertical="center" indent="1"/>
      <protection locked="0"/>
    </xf>
    <xf numFmtId="0" fontId="17" fillId="36" borderId="17" xfId="70" applyFont="1" applyFill="1" applyBorder="1" applyAlignment="1" applyProtection="1">
      <alignment horizontal="right" vertical="center"/>
    </xf>
    <xf numFmtId="0" fontId="18" fillId="35" borderId="9" xfId="0" applyNumberFormat="1" applyFont="1" applyFill="1" applyBorder="1" applyAlignment="1" applyProtection="1">
      <alignment horizontal="center" vertical="center"/>
      <protection locked="0"/>
    </xf>
    <xf numFmtId="0" fontId="17" fillId="36" borderId="8" xfId="0" applyNumberFormat="1" applyFont="1" applyFill="1" applyBorder="1" applyAlignment="1" applyProtection="1">
      <alignment horizontal="right" vertical="center" wrapText="1"/>
    </xf>
    <xf numFmtId="164" fontId="0" fillId="0" borderId="0" xfId="0" applyAlignment="1"/>
    <xf numFmtId="164" fontId="18" fillId="0" borderId="7" xfId="0" applyFont="1" applyFill="1" applyBorder="1" applyAlignment="1" applyProtection="1">
      <alignment vertical="center"/>
      <protection locked="0"/>
    </xf>
    <xf numFmtId="0" fontId="18" fillId="0" borderId="8" xfId="70" applyFont="1" applyFill="1" applyBorder="1" applyAlignment="1" applyProtection="1">
      <alignment horizontal="center" vertical="center" shrinkToFit="1"/>
      <protection locked="0"/>
    </xf>
    <xf numFmtId="164" fontId="56" fillId="36" borderId="19" xfId="0" applyFont="1" applyFill="1" applyBorder="1" applyAlignment="1" applyProtection="1">
      <alignment vertical="center"/>
    </xf>
    <xf numFmtId="164" fontId="17" fillId="36" borderId="3" xfId="0" applyFont="1" applyFill="1" applyBorder="1" applyAlignment="1" applyProtection="1">
      <alignment horizontal="right" vertical="center"/>
    </xf>
    <xf numFmtId="164" fontId="17" fillId="36" borderId="8" xfId="0" applyFont="1" applyFill="1" applyBorder="1" applyAlignment="1" applyProtection="1">
      <alignment horizontal="right" vertical="center"/>
    </xf>
    <xf numFmtId="0" fontId="54" fillId="36" borderId="4" xfId="73" applyFont="1" applyFill="1" applyBorder="1" applyProtection="1"/>
    <xf numFmtId="0" fontId="55" fillId="36" borderId="4" xfId="73" applyFont="1" applyFill="1" applyBorder="1" applyProtection="1"/>
    <xf numFmtId="164" fontId="55" fillId="36" borderId="4" xfId="0" applyFont="1" applyFill="1" applyBorder="1"/>
    <xf numFmtId="164" fontId="56" fillId="36" borderId="17" xfId="0" applyFont="1" applyFill="1" applyBorder="1" applyAlignment="1" applyProtection="1">
      <alignment horizontal="center" vertical="center"/>
    </xf>
    <xf numFmtId="0" fontId="18" fillId="0" borderId="29" xfId="70" applyFont="1" applyFill="1" applyBorder="1" applyAlignment="1" applyProtection="1">
      <alignment horizontal="left" vertical="center" indent="1"/>
      <protection locked="0"/>
    </xf>
    <xf numFmtId="0" fontId="18" fillId="0" borderId="8" xfId="70" applyFont="1" applyFill="1" applyBorder="1" applyAlignment="1" applyProtection="1">
      <alignment horizontal="left" vertical="center" indent="1"/>
      <protection locked="0"/>
    </xf>
    <xf numFmtId="0" fontId="18" fillId="0" borderId="8" xfId="70" applyNumberFormat="1" applyFont="1" applyFill="1" applyBorder="1" applyAlignment="1" applyProtection="1">
      <alignment horizontal="left" vertical="center" indent="1"/>
      <protection locked="0"/>
    </xf>
    <xf numFmtId="0" fontId="17" fillId="36" borderId="17" xfId="70" applyFont="1" applyFill="1" applyBorder="1" applyAlignment="1" applyProtection="1">
      <alignment horizontal="right" vertical="top"/>
    </xf>
    <xf numFmtId="0" fontId="17" fillId="36" borderId="9" xfId="0" applyNumberFormat="1" applyFont="1" applyFill="1" applyBorder="1" applyAlignment="1" applyProtection="1">
      <alignment horizontal="right" vertical="center" wrapText="1"/>
    </xf>
    <xf numFmtId="0" fontId="18" fillId="0" borderId="30" xfId="70" applyFont="1" applyFill="1" applyBorder="1" applyAlignment="1" applyProtection="1">
      <alignment horizontal="left" vertical="center" indent="1"/>
      <protection locked="0"/>
    </xf>
    <xf numFmtId="0" fontId="18" fillId="0" borderId="17" xfId="70" applyFont="1" applyFill="1" applyBorder="1" applyAlignment="1" applyProtection="1">
      <alignment horizontal="center" vertical="center" shrinkToFit="1"/>
      <protection locked="0"/>
    </xf>
    <xf numFmtId="0" fontId="18" fillId="0" borderId="18" xfId="70" applyNumberFormat="1" applyFont="1" applyFill="1" applyBorder="1" applyAlignment="1" applyProtection="1">
      <alignment horizontal="center" vertical="center" shrinkToFit="1"/>
      <protection locked="0"/>
    </xf>
    <xf numFmtId="14" fontId="57" fillId="0" borderId="0" xfId="74" applyNumberFormat="1" applyFont="1" applyFill="1" applyAlignment="1">
      <alignment vertical="top" wrapText="1"/>
    </xf>
    <xf numFmtId="0" fontId="17" fillId="0" borderId="8" xfId="70" applyFont="1" applyFill="1" applyBorder="1" applyAlignment="1" applyProtection="1">
      <alignment horizontal="left" vertical="center" indent="1"/>
      <protection locked="0"/>
    </xf>
    <xf numFmtId="164" fontId="2" fillId="0" borderId="0" xfId="94" applyFont="1" applyFill="1"/>
    <xf numFmtId="164" fontId="2" fillId="0" borderId="0" xfId="94" applyFont="1" applyAlignment="1">
      <alignment vertical="center" wrapText="1"/>
    </xf>
    <xf numFmtId="164" fontId="2" fillId="0" borderId="0" xfId="94" applyFont="1"/>
    <xf numFmtId="0" fontId="1" fillId="0" borderId="0" xfId="95" applyAlignment="1">
      <alignment vertical="center"/>
    </xf>
    <xf numFmtId="0" fontId="60" fillId="0" borderId="54" xfId="95" applyFont="1" applyBorder="1" applyAlignment="1">
      <alignment horizontal="right" vertical="center"/>
    </xf>
    <xf numFmtId="0" fontId="62" fillId="0" borderId="57" xfId="95" applyFont="1" applyBorder="1" applyAlignment="1">
      <alignment horizontal="center" vertical="top" wrapText="1"/>
    </xf>
    <xf numFmtId="0" fontId="62" fillId="0" borderId="26" xfId="95" applyFont="1" applyBorder="1" applyAlignment="1">
      <alignment horizontal="center" vertical="top" wrapText="1"/>
    </xf>
    <xf numFmtId="0" fontId="62" fillId="0" borderId="25" xfId="95" applyFont="1" applyBorder="1" applyAlignment="1">
      <alignment horizontal="center" vertical="top" wrapText="1"/>
    </xf>
    <xf numFmtId="0" fontId="1" fillId="0" borderId="0" xfId="95" applyAlignment="1">
      <alignment vertical="top"/>
    </xf>
    <xf numFmtId="14" fontId="61" fillId="0" borderId="58" xfId="95" applyNumberFormat="1" applyFont="1" applyBorder="1" applyAlignment="1">
      <alignment horizontal="center" vertical="top" wrapText="1"/>
    </xf>
    <xf numFmtId="0" fontId="61" fillId="0" borderId="21" xfId="95" applyFont="1" applyBorder="1" applyAlignment="1">
      <alignment horizontal="left" vertical="top" wrapText="1" indent="1"/>
    </xf>
    <xf numFmtId="165" fontId="61" fillId="0" borderId="22" xfId="95" applyNumberFormat="1" applyFont="1" applyBorder="1" applyAlignment="1">
      <alignment horizontal="center" vertical="top" wrapText="1"/>
    </xf>
    <xf numFmtId="0" fontId="61" fillId="0" borderId="28" xfId="95" applyFont="1" applyBorder="1" applyAlignment="1">
      <alignment horizontal="left" vertical="top" wrapText="1" indent="1"/>
    </xf>
    <xf numFmtId="14" fontId="61" fillId="0" borderId="59" xfId="95" applyNumberFormat="1" applyFont="1" applyBorder="1" applyAlignment="1">
      <alignment horizontal="center" vertical="top" wrapText="1"/>
    </xf>
    <xf numFmtId="165" fontId="61" fillId="0" borderId="27" xfId="95" applyNumberFormat="1" applyFont="1" applyBorder="1" applyAlignment="1">
      <alignment horizontal="center" vertical="top" wrapText="1"/>
    </xf>
    <xf numFmtId="14" fontId="63" fillId="0" borderId="59" xfId="95" applyNumberFormat="1" applyFont="1" applyBorder="1" applyAlignment="1">
      <alignment horizontal="center" vertical="top" wrapText="1"/>
    </xf>
    <xf numFmtId="0" fontId="63" fillId="0" borderId="28" xfId="95" applyFont="1" applyBorder="1" applyAlignment="1">
      <alignment horizontal="left" vertical="top" wrapText="1"/>
    </xf>
    <xf numFmtId="165" fontId="63" fillId="0" borderId="27" xfId="95" applyNumberFormat="1" applyFont="1" applyBorder="1" applyAlignment="1">
      <alignment horizontal="center" vertical="top" wrapText="1"/>
    </xf>
    <xf numFmtId="0" fontId="1" fillId="0" borderId="0" xfId="95" applyAlignment="1">
      <alignment horizontal="center" vertical="top"/>
    </xf>
    <xf numFmtId="0" fontId="34" fillId="30" borderId="27" xfId="27" applyBorder="1" applyAlignment="1">
      <alignment horizontal="center" vertical="center" textRotation="90" wrapText="1"/>
    </xf>
    <xf numFmtId="0" fontId="34" fillId="30" borderId="25" xfId="27" applyBorder="1" applyAlignment="1">
      <alignment horizontal="center" vertical="center" textRotation="90" wrapText="1"/>
    </xf>
    <xf numFmtId="0" fontId="34" fillId="32" borderId="22" xfId="31" applyBorder="1" applyAlignment="1">
      <alignment horizontal="center" vertical="center" textRotation="90" wrapText="1"/>
    </xf>
    <xf numFmtId="0" fontId="4" fillId="0" borderId="0" xfId="59" applyAlignment="1">
      <alignment horizontal="left"/>
    </xf>
    <xf numFmtId="0" fontId="34" fillId="30" borderId="22" xfId="27" applyBorder="1" applyAlignment="1">
      <alignment horizontal="center" vertical="center" textRotation="90" wrapText="1"/>
    </xf>
    <xf numFmtId="0" fontId="34" fillId="31" borderId="22" xfId="29" applyBorder="1" applyAlignment="1">
      <alignment horizontal="center" vertical="center" textRotation="90" wrapText="1"/>
    </xf>
    <xf numFmtId="0" fontId="34" fillId="33" borderId="22" xfId="32" applyBorder="1" applyAlignment="1">
      <alignment horizontal="center" vertical="center" textRotation="90" wrapText="1"/>
    </xf>
    <xf numFmtId="0" fontId="34" fillId="29" borderId="22" xfId="25" applyBorder="1" applyAlignment="1">
      <alignment horizontal="center" vertical="center" textRotation="90" wrapText="1"/>
    </xf>
    <xf numFmtId="0" fontId="34" fillId="28" borderId="22" xfId="23" applyBorder="1" applyAlignment="1">
      <alignment horizontal="center" vertical="center" textRotation="90" wrapText="1"/>
    </xf>
    <xf numFmtId="0" fontId="59" fillId="0" borderId="51" xfId="95" applyFont="1" applyBorder="1" applyAlignment="1">
      <alignment horizontal="center" vertical="center" wrapText="1"/>
    </xf>
    <xf numFmtId="0" fontId="59" fillId="0" borderId="52" xfId="95" applyFont="1" applyBorder="1" applyAlignment="1">
      <alignment horizontal="center" vertical="center" wrapText="1"/>
    </xf>
    <xf numFmtId="0" fontId="59" fillId="0" borderId="53" xfId="95" applyFont="1" applyBorder="1" applyAlignment="1">
      <alignment horizontal="center" vertical="center" wrapText="1"/>
    </xf>
    <xf numFmtId="0" fontId="61" fillId="0" borderId="55" xfId="95" applyFont="1" applyBorder="1" applyAlignment="1">
      <alignment vertical="center"/>
    </xf>
    <xf numFmtId="0" fontId="61" fillId="0" borderId="56" xfId="95" applyFont="1" applyBorder="1" applyAlignment="1">
      <alignment vertical="center"/>
    </xf>
    <xf numFmtId="0" fontId="10" fillId="0" borderId="0" xfId="72" applyFont="1" applyFill="1" applyBorder="1" applyAlignment="1" applyProtection="1"/>
    <xf numFmtId="0" fontId="17" fillId="36" borderId="15" xfId="73" applyFont="1" applyFill="1" applyBorder="1" applyAlignment="1" applyProtection="1">
      <alignment horizontal="right" vertical="center"/>
    </xf>
    <xf numFmtId="0" fontId="17" fillId="36" borderId="16" xfId="73" applyFont="1" applyFill="1" applyBorder="1" applyAlignment="1" applyProtection="1">
      <alignment horizontal="right" vertical="center"/>
    </xf>
    <xf numFmtId="0" fontId="17" fillId="36" borderId="29" xfId="73" applyFont="1" applyFill="1" applyBorder="1" applyAlignment="1" applyProtection="1">
      <alignment horizontal="right" vertical="center"/>
    </xf>
    <xf numFmtId="0" fontId="17" fillId="36" borderId="33" xfId="73" applyFont="1" applyFill="1" applyBorder="1" applyAlignment="1" applyProtection="1">
      <alignment horizontal="right" vertical="center"/>
    </xf>
    <xf numFmtId="0" fontId="17" fillId="36" borderId="14" xfId="73" applyFont="1" applyFill="1" applyBorder="1" applyAlignment="1" applyProtection="1">
      <alignment horizontal="right" vertical="center"/>
    </xf>
    <xf numFmtId="0" fontId="17" fillId="36" borderId="0" xfId="73" applyFont="1" applyFill="1" applyBorder="1" applyAlignment="1" applyProtection="1">
      <alignment horizontal="right" vertical="center"/>
    </xf>
    <xf numFmtId="0" fontId="18" fillId="0" borderId="18" xfId="70" applyFont="1" applyFill="1" applyBorder="1" applyAlignment="1" applyProtection="1">
      <alignment horizontal="left" vertical="center" indent="1"/>
      <protection locked="0"/>
    </xf>
    <xf numFmtId="0" fontId="18" fillId="0" borderId="7" xfId="70" applyFont="1" applyFill="1" applyBorder="1" applyAlignment="1" applyProtection="1">
      <alignment horizontal="left" vertical="center" indent="1"/>
      <protection locked="0"/>
    </xf>
    <xf numFmtId="0" fontId="2" fillId="36" borderId="3" xfId="73" applyFont="1" applyFill="1" applyBorder="1" applyAlignment="1" applyProtection="1">
      <alignment horizontal="center"/>
    </xf>
    <xf numFmtId="0" fontId="2" fillId="36" borderId="4" xfId="73" applyFont="1" applyFill="1" applyBorder="1" applyAlignment="1" applyProtection="1">
      <alignment horizontal="center"/>
    </xf>
    <xf numFmtId="0" fontId="2" fillId="36" borderId="17" xfId="73" applyFont="1" applyFill="1" applyBorder="1" applyAlignment="1" applyProtection="1">
      <alignment horizontal="center"/>
    </xf>
    <xf numFmtId="0" fontId="24" fillId="14" borderId="10" xfId="73" applyFont="1" applyFill="1" applyBorder="1" applyAlignment="1" applyProtection="1">
      <alignment horizontal="center" vertical="center" wrapText="1" shrinkToFit="1"/>
    </xf>
    <xf numFmtId="0" fontId="24" fillId="14" borderId="19" xfId="73" applyFont="1" applyFill="1" applyBorder="1" applyAlignment="1" applyProtection="1">
      <alignment horizontal="center" vertical="center" wrapText="1" shrinkToFit="1"/>
    </xf>
    <xf numFmtId="0" fontId="24" fillId="14" borderId="20" xfId="73" applyFont="1" applyFill="1" applyBorder="1" applyAlignment="1" applyProtection="1">
      <alignment horizontal="center" vertical="center" wrapText="1" shrinkToFit="1"/>
    </xf>
    <xf numFmtId="0" fontId="17" fillId="39" borderId="16" xfId="73" applyFont="1" applyFill="1" applyBorder="1" applyAlignment="1" applyProtection="1">
      <alignment horizontal="center" vertical="center"/>
    </xf>
    <xf numFmtId="0" fontId="17" fillId="39" borderId="18" xfId="73" applyFont="1" applyFill="1" applyBorder="1" applyAlignment="1" applyProtection="1">
      <alignment horizontal="center" vertical="center"/>
    </xf>
    <xf numFmtId="164" fontId="17" fillId="36" borderId="8" xfId="0" applyFont="1" applyFill="1" applyBorder="1" applyAlignment="1" applyProtection="1">
      <alignment horizontal="right" vertical="center"/>
    </xf>
    <xf numFmtId="164" fontId="17" fillId="36" borderId="3" xfId="0" applyFont="1" applyFill="1" applyBorder="1" applyAlignment="1" applyProtection="1">
      <alignment horizontal="right" vertical="center"/>
    </xf>
    <xf numFmtId="164" fontId="17" fillId="36" borderId="17" xfId="0" applyFont="1" applyFill="1" applyBorder="1" applyAlignment="1" applyProtection="1">
      <alignment horizontal="right" vertical="center"/>
    </xf>
    <xf numFmtId="164" fontId="17" fillId="36" borderId="4" xfId="0" applyFont="1" applyFill="1" applyBorder="1" applyAlignment="1" applyProtection="1">
      <alignment horizontal="right" vertical="center"/>
    </xf>
    <xf numFmtId="0" fontId="18" fillId="36" borderId="4" xfId="70" applyNumberFormat="1" applyFont="1" applyFill="1" applyBorder="1" applyAlignment="1" applyProtection="1">
      <alignment horizontal="left" vertical="center" indent="1"/>
    </xf>
    <xf numFmtId="0" fontId="18" fillId="36" borderId="17" xfId="70" applyNumberFormat="1" applyFont="1" applyFill="1" applyBorder="1" applyAlignment="1" applyProtection="1">
      <alignment horizontal="left" vertical="center" indent="1"/>
    </xf>
    <xf numFmtId="164" fontId="17" fillId="36" borderId="10" xfId="0" applyFont="1" applyFill="1" applyBorder="1" applyAlignment="1" applyProtection="1">
      <alignment horizontal="right" vertical="center"/>
    </xf>
    <xf numFmtId="164" fontId="17" fillId="36" borderId="20" xfId="0" applyFont="1" applyFill="1" applyBorder="1" applyAlignment="1" applyProtection="1">
      <alignment horizontal="right" vertical="center"/>
    </xf>
    <xf numFmtId="164" fontId="45" fillId="58" borderId="10" xfId="0" applyFont="1" applyFill="1" applyBorder="1" applyAlignment="1">
      <alignment horizontal="center"/>
    </xf>
    <xf numFmtId="164" fontId="45" fillId="58" borderId="19" xfId="0" applyFont="1" applyFill="1" applyBorder="1" applyAlignment="1">
      <alignment horizontal="center"/>
    </xf>
    <xf numFmtId="164" fontId="45" fillId="58" borderId="20" xfId="0" applyFont="1" applyFill="1" applyBorder="1" applyAlignment="1">
      <alignment horizontal="center"/>
    </xf>
    <xf numFmtId="164" fontId="16" fillId="58" borderId="3" xfId="0" applyFont="1" applyFill="1" applyBorder="1" applyAlignment="1">
      <alignment horizontal="left" vertical="center" wrapText="1" indent="1"/>
    </xf>
    <xf numFmtId="164" fontId="16" fillId="58" borderId="4" xfId="0" applyFont="1" applyFill="1" applyBorder="1" applyAlignment="1">
      <alignment horizontal="left" vertical="center" wrapText="1" indent="1"/>
    </xf>
    <xf numFmtId="164" fontId="16" fillId="58" borderId="17" xfId="0" applyFont="1" applyFill="1" applyBorder="1" applyAlignment="1">
      <alignment horizontal="left" vertical="center" wrapText="1" indent="1"/>
    </xf>
    <xf numFmtId="164" fontId="18" fillId="36" borderId="8" xfId="0" applyFont="1" applyFill="1" applyBorder="1" applyAlignment="1">
      <alignment horizontal="center" vertical="center" wrapText="1"/>
    </xf>
    <xf numFmtId="164" fontId="18" fillId="36" borderId="7" xfId="0" applyFont="1" applyFill="1" applyBorder="1" applyAlignment="1">
      <alignment horizontal="center" vertical="center" wrapText="1"/>
    </xf>
    <xf numFmtId="0" fontId="16" fillId="57" borderId="44" xfId="70" applyFont="1" applyFill="1" applyBorder="1" applyAlignment="1" applyProtection="1">
      <alignment horizontal="left" vertical="center" wrapText="1" indent="1"/>
    </xf>
    <xf numFmtId="0" fontId="16" fillId="57" borderId="45" xfId="70" applyFont="1" applyFill="1" applyBorder="1" applyAlignment="1" applyProtection="1">
      <alignment horizontal="left" vertical="center" wrapText="1" indent="1"/>
    </xf>
    <xf numFmtId="0" fontId="16" fillId="57" borderId="46" xfId="70" applyFont="1" applyFill="1" applyBorder="1" applyAlignment="1" applyProtection="1">
      <alignment horizontal="left" vertical="center" wrapText="1" indent="1"/>
    </xf>
    <xf numFmtId="0" fontId="2" fillId="36" borderId="50" xfId="73" applyFont="1" applyFill="1" applyBorder="1" applyAlignment="1" applyProtection="1">
      <alignment horizontal="right"/>
    </xf>
    <xf numFmtId="0" fontId="2" fillId="36" borderId="48" xfId="73" applyFont="1" applyFill="1" applyBorder="1" applyAlignment="1" applyProtection="1">
      <alignment horizontal="right"/>
    </xf>
    <xf numFmtId="0" fontId="2" fillId="36" borderId="49" xfId="73" applyFont="1" applyFill="1" applyBorder="1" applyAlignment="1" applyProtection="1">
      <alignment horizontal="right"/>
    </xf>
    <xf numFmtId="0" fontId="2" fillId="36" borderId="14" xfId="73" applyFont="1" applyFill="1" applyBorder="1" applyAlignment="1" applyProtection="1">
      <alignment horizontal="right"/>
    </xf>
    <xf numFmtId="0" fontId="2" fillId="36" borderId="0" xfId="73" applyFont="1" applyFill="1" applyBorder="1" applyAlignment="1" applyProtection="1">
      <alignment horizontal="right"/>
    </xf>
    <xf numFmtId="0" fontId="2" fillId="36" borderId="31" xfId="73" applyFont="1" applyFill="1" applyBorder="1" applyAlignment="1" applyProtection="1">
      <alignment horizontal="right"/>
    </xf>
    <xf numFmtId="164" fontId="18" fillId="36" borderId="29" xfId="0" applyFont="1" applyFill="1" applyBorder="1" applyAlignment="1">
      <alignment horizontal="center" vertical="center" wrapText="1"/>
    </xf>
    <xf numFmtId="164" fontId="18" fillId="36" borderId="30" xfId="0" applyFont="1" applyFill="1" applyBorder="1" applyAlignment="1">
      <alignment horizontal="center" vertical="center" wrapText="1"/>
    </xf>
    <xf numFmtId="164" fontId="18" fillId="36" borderId="14" xfId="0" applyFont="1" applyFill="1" applyBorder="1" applyAlignment="1">
      <alignment horizontal="center" vertical="center" wrapText="1"/>
    </xf>
    <xf numFmtId="164" fontId="18" fillId="36" borderId="31" xfId="0" applyFont="1" applyFill="1" applyBorder="1" applyAlignment="1">
      <alignment horizontal="center" vertical="center" wrapText="1"/>
    </xf>
    <xf numFmtId="164" fontId="18" fillId="36" borderId="15" xfId="0" applyFont="1" applyFill="1" applyBorder="1" applyAlignment="1">
      <alignment horizontal="center" vertical="center" wrapText="1"/>
    </xf>
    <xf numFmtId="164" fontId="18" fillId="36" borderId="18" xfId="0" applyFont="1" applyFill="1" applyBorder="1" applyAlignment="1">
      <alignment horizontal="center" vertical="center" wrapText="1"/>
    </xf>
    <xf numFmtId="0" fontId="17" fillId="36" borderId="14" xfId="73" applyFont="1" applyFill="1" applyBorder="1" applyAlignment="1" applyProtection="1">
      <alignment horizontal="right" vertical="center" indent="6"/>
    </xf>
    <xf numFmtId="0" fontId="17" fillId="36" borderId="0" xfId="73" applyFont="1" applyFill="1" applyBorder="1" applyAlignment="1" applyProtection="1">
      <alignment horizontal="right" vertical="center" indent="6"/>
    </xf>
    <xf numFmtId="0" fontId="17" fillId="36" borderId="31" xfId="73" applyFont="1" applyFill="1" applyBorder="1" applyAlignment="1" applyProtection="1">
      <alignment horizontal="right" vertical="center" indent="6"/>
    </xf>
    <xf numFmtId="0" fontId="17" fillId="36" borderId="15" xfId="73" applyFont="1" applyFill="1" applyBorder="1" applyAlignment="1" applyProtection="1">
      <alignment horizontal="right" vertical="center" indent="6"/>
    </xf>
    <xf numFmtId="0" fontId="17" fillId="36" borderId="16" xfId="73" applyFont="1" applyFill="1" applyBorder="1" applyAlignment="1" applyProtection="1">
      <alignment horizontal="right" vertical="center" indent="6"/>
    </xf>
    <xf numFmtId="0" fontId="17" fillId="36" borderId="18" xfId="73" applyFont="1" applyFill="1" applyBorder="1" applyAlignment="1" applyProtection="1">
      <alignment horizontal="right" vertical="center" indent="6"/>
    </xf>
    <xf numFmtId="0" fontId="17" fillId="36" borderId="29" xfId="73" applyFont="1" applyFill="1" applyBorder="1" applyAlignment="1" applyProtection="1">
      <alignment horizontal="right" vertical="center" indent="6"/>
    </xf>
    <xf numFmtId="0" fontId="17" fillId="36" borderId="33" xfId="73" applyFont="1" applyFill="1" applyBorder="1" applyAlignment="1" applyProtection="1">
      <alignment horizontal="right" vertical="center" indent="6"/>
    </xf>
    <xf numFmtId="0" fontId="17" fillId="36" borderId="30" xfId="73" applyFont="1" applyFill="1" applyBorder="1" applyAlignment="1" applyProtection="1">
      <alignment horizontal="right" vertical="center" indent="6"/>
    </xf>
    <xf numFmtId="164" fontId="45" fillId="57" borderId="10" xfId="0" applyFont="1" applyFill="1" applyBorder="1" applyAlignment="1">
      <alignment horizontal="right"/>
    </xf>
    <xf numFmtId="164" fontId="45" fillId="57" borderId="19" xfId="0" applyFont="1" applyFill="1" applyBorder="1" applyAlignment="1">
      <alignment horizontal="right"/>
    </xf>
    <xf numFmtId="0" fontId="11" fillId="0" borderId="2" xfId="0" applyNumberFormat="1" applyFont="1" applyFill="1" applyBorder="1" applyAlignment="1" applyProtection="1">
      <alignment horizontal="left" indent="1"/>
      <protection locked="0"/>
    </xf>
    <xf numFmtId="14" fontId="18" fillId="0" borderId="8" xfId="70" applyNumberFormat="1" applyFont="1" applyFill="1" applyBorder="1" applyAlignment="1" applyProtection="1">
      <alignment horizontal="left" vertical="center" indent="1"/>
      <protection locked="0"/>
    </xf>
    <xf numFmtId="0" fontId="44" fillId="57" borderId="42" xfId="70" applyFont="1" applyFill="1" applyBorder="1" applyAlignment="1" applyProtection="1">
      <alignment horizontal="center" vertical="center"/>
    </xf>
    <xf numFmtId="0" fontId="44" fillId="57" borderId="40" xfId="70" applyFont="1" applyFill="1" applyBorder="1" applyAlignment="1" applyProtection="1">
      <alignment horizontal="center" vertical="center"/>
    </xf>
    <xf numFmtId="0" fontId="44" fillId="57" borderId="41" xfId="70" applyFont="1" applyFill="1" applyBorder="1" applyAlignment="1" applyProtection="1">
      <alignment horizontal="center" vertical="center"/>
    </xf>
    <xf numFmtId="0" fontId="18" fillId="0" borderId="8" xfId="70" applyFont="1" applyFill="1" applyBorder="1" applyAlignment="1" applyProtection="1">
      <alignment horizontal="left" vertical="center" indent="1"/>
      <protection locked="0"/>
    </xf>
    <xf numFmtId="0" fontId="18" fillId="0" borderId="7" xfId="70" applyNumberFormat="1" applyFont="1" applyFill="1" applyBorder="1" applyAlignment="1" applyProtection="1">
      <alignment horizontal="left" vertical="center" indent="1"/>
      <protection locked="0"/>
    </xf>
    <xf numFmtId="0" fontId="44" fillId="57" borderId="10" xfId="70" applyFont="1" applyFill="1" applyBorder="1" applyAlignment="1" applyProtection="1">
      <alignment horizontal="center" vertical="center"/>
    </xf>
    <xf numFmtId="0" fontId="44" fillId="57" borderId="19" xfId="70" applyFont="1" applyFill="1" applyBorder="1" applyAlignment="1" applyProtection="1">
      <alignment horizontal="center" vertical="center"/>
    </xf>
    <xf numFmtId="0" fontId="44" fillId="57" borderId="20" xfId="70" applyFont="1" applyFill="1" applyBorder="1" applyAlignment="1" applyProtection="1">
      <alignment horizontal="center" vertical="center"/>
    </xf>
    <xf numFmtId="164" fontId="2" fillId="42" borderId="35" xfId="0" applyFont="1" applyFill="1" applyBorder="1" applyAlignment="1">
      <alignment horizontal="center"/>
    </xf>
    <xf numFmtId="164" fontId="2" fillId="42" borderId="36" xfId="0" applyFont="1" applyFill="1" applyBorder="1" applyAlignment="1">
      <alignment horizontal="center"/>
    </xf>
    <xf numFmtId="164" fontId="2" fillId="42" borderId="37" xfId="0" applyFont="1" applyFill="1" applyBorder="1" applyAlignment="1">
      <alignment horizontal="center"/>
    </xf>
    <xf numFmtId="0" fontId="14" fillId="0" borderId="2" xfId="70" applyFont="1" applyBorder="1" applyAlignment="1" applyProtection="1">
      <alignment vertical="center"/>
    </xf>
    <xf numFmtId="0" fontId="17" fillId="36" borderId="3" xfId="70" applyFont="1" applyFill="1" applyBorder="1" applyAlignment="1" applyProtection="1">
      <alignment horizontal="right" vertical="center"/>
    </xf>
    <xf numFmtId="0" fontId="17" fillId="36" borderId="4" xfId="70" applyFont="1" applyFill="1" applyBorder="1" applyAlignment="1" applyProtection="1">
      <alignment horizontal="right" vertical="center"/>
    </xf>
    <xf numFmtId="0" fontId="17" fillId="36" borderId="17" xfId="70" applyFont="1" applyFill="1" applyBorder="1" applyAlignment="1" applyProtection="1">
      <alignment horizontal="right" vertical="center"/>
    </xf>
    <xf numFmtId="0" fontId="16" fillId="36" borderId="4" xfId="70" applyFont="1" applyFill="1" applyBorder="1" applyAlignment="1" applyProtection="1">
      <alignment horizontal="center" vertical="center"/>
    </xf>
    <xf numFmtId="0" fontId="16" fillId="36" borderId="17" xfId="70" applyFont="1" applyFill="1" applyBorder="1" applyAlignment="1" applyProtection="1">
      <alignment horizontal="center" vertical="center"/>
    </xf>
    <xf numFmtId="0" fontId="17" fillId="36" borderId="29" xfId="70" applyFont="1" applyFill="1" applyBorder="1" applyAlignment="1" applyProtection="1">
      <alignment horizontal="right" vertical="center"/>
    </xf>
    <xf numFmtId="0" fontId="17" fillId="36" borderId="33" xfId="70" applyFont="1" applyFill="1" applyBorder="1" applyAlignment="1" applyProtection="1">
      <alignment horizontal="right" vertical="center"/>
    </xf>
    <xf numFmtId="0" fontId="17" fillId="36" borderId="7" xfId="70" applyFont="1" applyFill="1" applyBorder="1" applyAlignment="1" applyProtection="1">
      <alignment horizontal="right" vertical="center"/>
    </xf>
    <xf numFmtId="0" fontId="17" fillId="36" borderId="19" xfId="70" applyFont="1" applyFill="1" applyBorder="1" applyAlignment="1" applyProtection="1">
      <alignment horizontal="right" vertical="center"/>
    </xf>
    <xf numFmtId="0" fontId="17" fillId="36" borderId="20" xfId="70" applyFont="1" applyFill="1" applyBorder="1" applyAlignment="1" applyProtection="1">
      <alignment horizontal="right" vertical="center"/>
    </xf>
    <xf numFmtId="0" fontId="18" fillId="0" borderId="10" xfId="70" applyFont="1" applyFill="1" applyBorder="1" applyAlignment="1" applyProtection="1">
      <alignment horizontal="left" vertical="center" indent="1"/>
      <protection locked="0"/>
    </xf>
    <xf numFmtId="164" fontId="0" fillId="0" borderId="19" xfId="0" applyFill="1" applyBorder="1" applyAlignment="1" applyProtection="1">
      <alignment horizontal="left" vertical="center" indent="1"/>
      <protection locked="0"/>
    </xf>
    <xf numFmtId="164" fontId="0" fillId="0" borderId="20" xfId="0" applyFill="1" applyBorder="1" applyAlignment="1" applyProtection="1">
      <alignment horizontal="left" indent="1"/>
      <protection locked="0"/>
    </xf>
    <xf numFmtId="0" fontId="17" fillId="36" borderId="9" xfId="70" quotePrefix="1" applyFont="1" applyFill="1" applyBorder="1" applyAlignment="1" applyProtection="1">
      <alignment horizontal="right" vertical="center"/>
    </xf>
    <xf numFmtId="164" fontId="17" fillId="36" borderId="9" xfId="0" applyFont="1" applyFill="1" applyBorder="1" applyAlignment="1" applyProtection="1">
      <alignment horizontal="right" vertical="center"/>
    </xf>
    <xf numFmtId="14" fontId="18" fillId="0" borderId="7" xfId="70" applyNumberFormat="1" applyFont="1" applyFill="1" applyBorder="1" applyAlignment="1" applyProtection="1">
      <alignment horizontal="left" vertical="center" indent="1"/>
      <protection locked="0"/>
    </xf>
    <xf numFmtId="164" fontId="2" fillId="42" borderId="13" xfId="0" applyFont="1" applyFill="1" applyBorder="1" applyAlignment="1">
      <alignment horizontal="center"/>
    </xf>
    <xf numFmtId="0" fontId="16" fillId="59" borderId="10" xfId="70" applyFont="1" applyFill="1" applyBorder="1" applyAlignment="1" applyProtection="1">
      <alignment horizontal="left" vertical="center" indent="1"/>
      <protection locked="0"/>
    </xf>
    <xf numFmtId="0" fontId="16" fillId="59" borderId="19" xfId="70" applyFont="1" applyFill="1" applyBorder="1" applyAlignment="1" applyProtection="1">
      <alignment horizontal="left" vertical="center" indent="1"/>
      <protection locked="0"/>
    </xf>
    <xf numFmtId="0" fontId="16" fillId="59" borderId="20" xfId="70" applyFont="1" applyFill="1" applyBorder="1" applyAlignment="1" applyProtection="1">
      <alignment horizontal="left" vertical="center" indent="1"/>
      <protection locked="0"/>
    </xf>
    <xf numFmtId="0" fontId="16" fillId="59" borderId="3" xfId="70" applyFont="1" applyFill="1" applyBorder="1" applyAlignment="1" applyProtection="1">
      <alignment horizontal="left" vertical="center" indent="1"/>
      <protection locked="0"/>
    </xf>
    <xf numFmtId="0" fontId="16" fillId="59" borderId="4" xfId="70" applyFont="1" applyFill="1" applyBorder="1" applyAlignment="1" applyProtection="1">
      <alignment horizontal="left" vertical="center" indent="1"/>
      <protection locked="0"/>
    </xf>
    <xf numFmtId="0" fontId="16" fillId="59" borderId="17" xfId="70" applyFont="1" applyFill="1" applyBorder="1" applyAlignment="1" applyProtection="1">
      <alignment horizontal="left" vertical="center" indent="1"/>
      <protection locked="0"/>
    </xf>
    <xf numFmtId="14" fontId="18" fillId="0" borderId="10" xfId="70" applyNumberFormat="1" applyFont="1" applyFill="1" applyBorder="1" applyAlignment="1" applyProtection="1">
      <alignment horizontal="left" vertical="center" indent="1"/>
      <protection locked="0"/>
    </xf>
    <xf numFmtId="14" fontId="18" fillId="0" borderId="20" xfId="70" applyNumberFormat="1" applyFont="1" applyFill="1" applyBorder="1" applyAlignment="1" applyProtection="1">
      <alignment horizontal="left" vertical="center" indent="1"/>
      <protection locked="0"/>
    </xf>
    <xf numFmtId="0" fontId="18" fillId="0" borderId="3" xfId="70" applyFont="1" applyFill="1" applyBorder="1" applyAlignment="1" applyProtection="1">
      <alignment horizontal="left" vertical="center" indent="1"/>
      <protection locked="0"/>
    </xf>
    <xf numFmtId="0" fontId="18" fillId="0" borderId="17" xfId="70" applyFont="1" applyFill="1" applyBorder="1" applyAlignment="1" applyProtection="1">
      <alignment horizontal="left" vertical="center" indent="1"/>
      <protection locked="0"/>
    </xf>
    <xf numFmtId="0" fontId="28" fillId="36" borderId="14" xfId="73" applyFont="1" applyFill="1" applyBorder="1" applyAlignment="1" applyProtection="1">
      <alignment horizontal="center" vertical="center"/>
    </xf>
    <xf numFmtId="0" fontId="28" fillId="36" borderId="31" xfId="73" applyFont="1" applyFill="1" applyBorder="1" applyAlignment="1" applyProtection="1">
      <alignment horizontal="center" vertical="center"/>
    </xf>
    <xf numFmtId="0" fontId="28" fillId="36" borderId="3" xfId="73" applyFont="1" applyFill="1" applyBorder="1" applyAlignment="1" applyProtection="1">
      <alignment horizontal="center" vertical="center" shrinkToFit="1"/>
    </xf>
    <xf numFmtId="0" fontId="28" fillId="36" borderId="17" xfId="73" applyFont="1" applyFill="1" applyBorder="1" applyAlignment="1" applyProtection="1">
      <alignment horizontal="center" vertical="center" shrinkToFit="1"/>
    </xf>
    <xf numFmtId="0" fontId="17" fillId="36" borderId="8" xfId="70" applyFont="1" applyFill="1" applyBorder="1" applyAlignment="1" applyProtection="1">
      <alignment horizontal="right" vertical="center"/>
    </xf>
    <xf numFmtId="164" fontId="0" fillId="0" borderId="4" xfId="0" applyFill="1" applyBorder="1" applyAlignment="1" applyProtection="1">
      <alignment horizontal="left" vertical="center" indent="1"/>
      <protection locked="0"/>
    </xf>
    <xf numFmtId="164" fontId="0" fillId="0" borderId="17" xfId="0" applyFill="1" applyBorder="1" applyAlignment="1" applyProtection="1">
      <alignment horizontal="left" indent="1"/>
      <protection locked="0"/>
    </xf>
    <xf numFmtId="0" fontId="17" fillId="36" borderId="11" xfId="70" applyFont="1" applyFill="1" applyBorder="1" applyAlignment="1" applyProtection="1">
      <alignment horizontal="right" vertical="center"/>
    </xf>
    <xf numFmtId="164" fontId="16" fillId="36" borderId="3" xfId="0" applyFont="1" applyFill="1" applyBorder="1" applyAlignment="1">
      <alignment horizontal="center" vertical="center" shrinkToFit="1"/>
    </xf>
    <xf numFmtId="164" fontId="16" fillId="36" borderId="4" xfId="0" applyFont="1" applyFill="1" applyBorder="1" applyAlignment="1">
      <alignment horizontal="center" vertical="center" shrinkToFit="1"/>
    </xf>
    <xf numFmtId="164" fontId="16" fillId="36" borderId="17" xfId="0" applyFont="1" applyFill="1" applyBorder="1" applyAlignment="1">
      <alignment horizontal="center" vertical="center" shrinkToFit="1"/>
    </xf>
    <xf numFmtId="0" fontId="20" fillId="15" borderId="14" xfId="73" applyFont="1" applyFill="1" applyBorder="1" applyAlignment="1" applyProtection="1">
      <alignment horizontal="right" vertical="center"/>
    </xf>
    <xf numFmtId="0" fontId="20" fillId="15" borderId="0" xfId="73" applyFont="1" applyFill="1" applyBorder="1" applyAlignment="1" applyProtection="1">
      <alignment horizontal="right" vertical="center"/>
    </xf>
    <xf numFmtId="0" fontId="20" fillId="15" borderId="31" xfId="73" applyFont="1" applyFill="1" applyBorder="1" applyAlignment="1" applyProtection="1">
      <alignment horizontal="right" vertical="center"/>
    </xf>
    <xf numFmtId="0" fontId="17" fillId="39" borderId="4" xfId="73" applyFont="1" applyFill="1" applyBorder="1" applyAlignment="1" applyProtection="1">
      <alignment horizontal="center" vertical="center"/>
    </xf>
    <xf numFmtId="0" fontId="16" fillId="57" borderId="5" xfId="70" applyFont="1" applyFill="1" applyBorder="1" applyAlignment="1" applyProtection="1">
      <alignment horizontal="left" vertical="center" wrapText="1" indent="1"/>
    </xf>
    <xf numFmtId="0" fontId="16" fillId="57" borderId="34" xfId="70" applyFont="1" applyFill="1" applyBorder="1" applyAlignment="1" applyProtection="1">
      <alignment horizontal="left" vertical="center" wrapText="1" indent="1"/>
    </xf>
    <xf numFmtId="0" fontId="16" fillId="57" borderId="43" xfId="70" applyFont="1" applyFill="1" applyBorder="1" applyAlignment="1" applyProtection="1">
      <alignment horizontal="left" vertical="center" wrapText="1" indent="1"/>
    </xf>
    <xf numFmtId="0" fontId="17" fillId="36" borderId="3" xfId="73" applyFont="1" applyFill="1" applyBorder="1" applyAlignment="1" applyProtection="1">
      <alignment horizontal="center" vertical="center" wrapText="1"/>
    </xf>
    <xf numFmtId="0" fontId="17" fillId="36" borderId="17" xfId="73" applyFont="1" applyFill="1" applyBorder="1" applyAlignment="1" applyProtection="1">
      <alignment horizontal="center" vertical="center" wrapText="1"/>
    </xf>
    <xf numFmtId="0" fontId="20" fillId="15" borderId="3" xfId="73" applyFont="1" applyFill="1" applyBorder="1" applyAlignment="1" applyProtection="1">
      <alignment horizontal="center" vertical="center"/>
    </xf>
    <xf numFmtId="0" fontId="20" fillId="15" borderId="4" xfId="73" applyFont="1" applyFill="1" applyBorder="1" applyAlignment="1" applyProtection="1">
      <alignment horizontal="center" vertical="center"/>
    </xf>
    <xf numFmtId="0" fontId="17" fillId="36" borderId="29" xfId="73" applyFont="1" applyFill="1" applyBorder="1" applyAlignment="1" applyProtection="1">
      <alignment horizontal="center" vertical="center" wrapText="1"/>
    </xf>
    <xf numFmtId="0" fontId="17" fillId="36" borderId="33" xfId="73" applyFont="1" applyFill="1" applyBorder="1" applyAlignment="1" applyProtection="1">
      <alignment horizontal="center" vertical="center" wrapText="1"/>
    </xf>
    <xf numFmtId="0" fontId="17" fillId="36" borderId="30" xfId="73" applyFont="1" applyFill="1" applyBorder="1" applyAlignment="1" applyProtection="1">
      <alignment horizontal="center" vertical="center" wrapText="1"/>
    </xf>
    <xf numFmtId="0" fontId="17" fillId="38" borderId="15" xfId="73" applyFont="1" applyFill="1" applyBorder="1" applyAlignment="1" applyProtection="1">
      <alignment horizontal="center" vertical="center" wrapText="1"/>
    </xf>
    <xf numFmtId="0" fontId="17" fillId="38" borderId="18" xfId="73" applyFont="1" applyFill="1" applyBorder="1" applyAlignment="1" applyProtection="1">
      <alignment horizontal="center" vertical="center" wrapText="1"/>
    </xf>
    <xf numFmtId="164" fontId="0" fillId="36" borderId="33" xfId="0" applyFill="1" applyBorder="1" applyAlignment="1">
      <alignment horizontal="center"/>
    </xf>
    <xf numFmtId="164" fontId="0" fillId="36" borderId="30" xfId="0" applyFill="1" applyBorder="1" applyAlignment="1">
      <alignment horizontal="center"/>
    </xf>
    <xf numFmtId="164" fontId="0" fillId="36" borderId="0" xfId="0" applyFill="1" applyBorder="1" applyAlignment="1">
      <alignment horizontal="center"/>
    </xf>
    <xf numFmtId="164" fontId="0" fillId="36" borderId="31" xfId="0" applyFill="1" applyBorder="1" applyAlignment="1">
      <alignment horizontal="center"/>
    </xf>
    <xf numFmtId="0" fontId="20" fillId="15" borderId="14" xfId="73" applyFont="1" applyFill="1" applyBorder="1" applyAlignment="1" applyProtection="1">
      <alignment horizontal="right" vertical="center" indent="1"/>
    </xf>
    <xf numFmtId="0" fontId="20" fillId="15" borderId="0" xfId="73" applyFont="1" applyFill="1" applyBorder="1" applyAlignment="1" applyProtection="1">
      <alignment horizontal="right" vertical="center" indent="1"/>
    </xf>
    <xf numFmtId="0" fontId="20" fillId="15" borderId="31" xfId="73" applyFont="1" applyFill="1" applyBorder="1" applyAlignment="1" applyProtection="1">
      <alignment horizontal="right" vertical="center" indent="1"/>
    </xf>
    <xf numFmtId="0" fontId="18" fillId="0" borderId="9" xfId="70" applyFont="1" applyFill="1" applyBorder="1" applyAlignment="1" applyProtection="1">
      <alignment horizontal="left" vertical="center" indent="1"/>
      <protection locked="0"/>
    </xf>
    <xf numFmtId="0" fontId="17" fillId="36" borderId="10" xfId="0" applyNumberFormat="1" applyFont="1" applyFill="1" applyBorder="1" applyAlignment="1" applyProtection="1">
      <alignment horizontal="right" vertical="center" wrapText="1"/>
    </xf>
    <xf numFmtId="0" fontId="17" fillId="36" borderId="20" xfId="0" applyNumberFormat="1" applyFont="1" applyFill="1" applyBorder="1" applyAlignment="1" applyProtection="1">
      <alignment horizontal="right" vertical="center" wrapText="1"/>
    </xf>
    <xf numFmtId="0" fontId="17" fillId="36" borderId="42" xfId="0" applyNumberFormat="1" applyFont="1" applyFill="1" applyBorder="1" applyAlignment="1" applyProtection="1">
      <alignment horizontal="right" vertical="center"/>
    </xf>
    <xf numFmtId="0" fontId="17" fillId="36" borderId="41" xfId="0" applyNumberFormat="1" applyFont="1" applyFill="1" applyBorder="1" applyAlignment="1" applyProtection="1">
      <alignment horizontal="right" vertical="center"/>
    </xf>
    <xf numFmtId="0" fontId="17" fillId="36" borderId="8" xfId="0" applyNumberFormat="1" applyFont="1" applyFill="1" applyBorder="1" applyAlignment="1" applyProtection="1">
      <alignment horizontal="right" vertical="center" wrapText="1"/>
    </xf>
    <xf numFmtId="164" fontId="0" fillId="36" borderId="4" xfId="0" applyFill="1" applyBorder="1" applyAlignment="1" applyProtection="1">
      <alignment horizontal="right" vertical="center"/>
    </xf>
    <xf numFmtId="164" fontId="0" fillId="36" borderId="17" xfId="0" applyFill="1" applyBorder="1" applyAlignment="1" applyProtection="1">
      <alignment horizontal="right" vertical="center"/>
    </xf>
    <xf numFmtId="164" fontId="17" fillId="36" borderId="19" xfId="0" applyFont="1" applyFill="1" applyBorder="1" applyAlignment="1" applyProtection="1">
      <alignment horizontal="right" vertical="center"/>
    </xf>
    <xf numFmtId="164" fontId="17" fillId="36" borderId="7" xfId="0" applyFont="1" applyFill="1" applyBorder="1" applyAlignment="1" applyProtection="1">
      <alignment horizontal="right" vertical="center"/>
    </xf>
    <xf numFmtId="0" fontId="17" fillId="36" borderId="42" xfId="70" applyFont="1" applyFill="1" applyBorder="1" applyAlignment="1" applyProtection="1">
      <alignment horizontal="right" vertical="center"/>
    </xf>
    <xf numFmtId="0" fontId="17" fillId="36" borderId="40" xfId="70" applyFont="1" applyFill="1" applyBorder="1" applyAlignment="1" applyProtection="1">
      <alignment horizontal="right" vertical="center"/>
    </xf>
    <xf numFmtId="0" fontId="17" fillId="36" borderId="41" xfId="70" applyFont="1" applyFill="1" applyBorder="1" applyAlignment="1" applyProtection="1">
      <alignment horizontal="right" vertical="center"/>
    </xf>
    <xf numFmtId="0" fontId="18" fillId="0" borderId="29" xfId="70" applyFont="1" applyFill="1" applyBorder="1" applyAlignment="1" applyProtection="1">
      <alignment horizontal="left" vertical="center" indent="1"/>
      <protection locked="0"/>
    </xf>
    <xf numFmtId="0" fontId="18" fillId="0" borderId="30" xfId="70" applyFont="1" applyFill="1" applyBorder="1" applyAlignment="1" applyProtection="1">
      <alignment horizontal="left" vertical="center" indent="1"/>
      <protection locked="0"/>
    </xf>
    <xf numFmtId="0" fontId="17" fillId="36" borderId="10" xfId="70" quotePrefix="1" applyFont="1" applyFill="1" applyBorder="1" applyAlignment="1" applyProtection="1">
      <alignment horizontal="right" vertical="center"/>
    </xf>
    <xf numFmtId="0" fontId="17" fillId="36" borderId="20" xfId="70" quotePrefix="1" applyFont="1" applyFill="1" applyBorder="1" applyAlignment="1" applyProtection="1">
      <alignment horizontal="right" vertical="center"/>
    </xf>
    <xf numFmtId="0" fontId="16" fillId="0" borderId="0" xfId="72" applyFont="1" applyAlignment="1" applyProtection="1">
      <alignment vertical="top" wrapText="1"/>
    </xf>
    <xf numFmtId="0" fontId="16" fillId="0" borderId="0" xfId="72" applyFont="1" applyAlignment="1" applyProtection="1">
      <alignment vertical="center" wrapText="1"/>
    </xf>
    <xf numFmtId="14" fontId="18" fillId="0" borderId="2" xfId="90" applyNumberFormat="1" applyFont="1" applyFill="1" applyBorder="1" applyAlignment="1" applyProtection="1">
      <alignment horizontal="left" vertical="center" indent="1"/>
    </xf>
    <xf numFmtId="0" fontId="16" fillId="42" borderId="19" xfId="88" applyFont="1" applyFill="1" applyBorder="1" applyAlignment="1">
      <alignment horizontal="center" vertical="center"/>
    </xf>
    <xf numFmtId="0" fontId="16" fillId="41" borderId="47" xfId="92" applyFont="1" applyFill="1" applyBorder="1" applyAlignment="1" applyProtection="1">
      <alignment horizontal="left" vertical="top" wrapText="1" indent="1"/>
    </xf>
    <xf numFmtId="0" fontId="16" fillId="0" borderId="8" xfId="92" applyFont="1" applyFill="1" applyBorder="1" applyAlignment="1" applyProtection="1">
      <alignment horizontal="left" vertical="top" wrapText="1" indent="1"/>
    </xf>
    <xf numFmtId="0" fontId="16" fillId="41" borderId="8" xfId="92" applyFont="1" applyFill="1" applyBorder="1" applyAlignment="1" applyProtection="1">
      <alignment horizontal="left" vertical="top" wrapText="1" indent="1"/>
    </xf>
    <xf numFmtId="0" fontId="16" fillId="41" borderId="8" xfId="93" applyFont="1" applyFill="1" applyBorder="1" applyAlignment="1" applyProtection="1">
      <alignment horizontal="left" vertical="top" wrapText="1" indent="1"/>
    </xf>
    <xf numFmtId="0" fontId="29" fillId="43" borderId="29" xfId="72" applyFont="1" applyFill="1" applyBorder="1" applyAlignment="1" applyProtection="1">
      <alignment horizontal="center"/>
    </xf>
    <xf numFmtId="0" fontId="29" fillId="43" borderId="33" xfId="72" applyFont="1" applyFill="1" applyBorder="1" applyAlignment="1" applyProtection="1">
      <alignment horizontal="center"/>
    </xf>
    <xf numFmtId="0" fontId="29" fillId="43" borderId="30" xfId="72" applyFont="1" applyFill="1" applyBorder="1" applyAlignment="1" applyProtection="1">
      <alignment horizontal="center"/>
    </xf>
    <xf numFmtId="0" fontId="16" fillId="43" borderId="29" xfId="69" quotePrefix="1" applyFont="1" applyFill="1" applyBorder="1" applyAlignment="1">
      <alignment horizontal="right" vertical="center"/>
    </xf>
    <xf numFmtId="0" fontId="16" fillId="43" borderId="33" xfId="69" quotePrefix="1" applyFont="1" applyFill="1" applyBorder="1" applyAlignment="1">
      <alignment horizontal="right" vertical="center"/>
    </xf>
    <xf numFmtId="0" fontId="16" fillId="43" borderId="33" xfId="88" applyFont="1" applyFill="1" applyBorder="1" applyAlignment="1">
      <alignment horizontal="left"/>
    </xf>
    <xf numFmtId="0" fontId="29" fillId="42" borderId="10" xfId="72" applyFont="1" applyFill="1" applyBorder="1" applyAlignment="1" applyProtection="1">
      <alignment horizontal="center"/>
    </xf>
    <xf numFmtId="0" fontId="29" fillId="42" borderId="19" xfId="72" applyFont="1" applyFill="1" applyBorder="1" applyAlignment="1" applyProtection="1">
      <alignment horizontal="center"/>
    </xf>
    <xf numFmtId="0" fontId="29" fillId="42" borderId="38" xfId="72" applyFont="1" applyFill="1" applyBorder="1" applyAlignment="1" applyProtection="1">
      <alignment horizontal="center"/>
    </xf>
    <xf numFmtId="0" fontId="17" fillId="44" borderId="3" xfId="71" applyFont="1" applyFill="1" applyBorder="1" applyAlignment="1">
      <alignment horizontal="center" vertical="center"/>
    </xf>
    <xf numFmtId="0" fontId="17" fillId="44" borderId="4" xfId="71" applyFont="1" applyFill="1" applyBorder="1" applyAlignment="1">
      <alignment horizontal="center" vertical="center"/>
    </xf>
    <xf numFmtId="0" fontId="29" fillId="42" borderId="3" xfId="72" applyFont="1" applyFill="1" applyBorder="1" applyAlignment="1" applyProtection="1">
      <alignment horizontal="center"/>
    </xf>
    <xf numFmtId="0" fontId="29" fillId="42" borderId="4" xfId="72" applyFont="1" applyFill="1" applyBorder="1" applyAlignment="1" applyProtection="1">
      <alignment horizontal="center"/>
    </xf>
    <xf numFmtId="0" fontId="29" fillId="42" borderId="39" xfId="72" applyFont="1" applyFill="1" applyBorder="1" applyAlignment="1" applyProtection="1">
      <alignment horizontal="center"/>
    </xf>
    <xf numFmtId="0" fontId="16" fillId="42" borderId="4" xfId="88" applyFont="1" applyFill="1" applyBorder="1" applyAlignment="1">
      <alignment horizontal="center" vertical="center"/>
    </xf>
    <xf numFmtId="0" fontId="16" fillId="44" borderId="5" xfId="71" applyFont="1" applyFill="1" applyBorder="1" applyAlignment="1">
      <alignment horizontal="center"/>
    </xf>
    <xf numFmtId="0" fontId="16" fillId="44" borderId="34" xfId="71" applyFont="1" applyFill="1" applyBorder="1" applyAlignment="1">
      <alignment horizontal="center"/>
    </xf>
    <xf numFmtId="0" fontId="16" fillId="41" borderId="8" xfId="93" applyFont="1" applyFill="1" applyBorder="1" applyAlignment="1" applyProtection="1">
      <alignment horizontal="center" vertical="top" wrapText="1"/>
    </xf>
    <xf numFmtId="0" fontId="16" fillId="41" borderId="47" xfId="93" applyFont="1" applyFill="1" applyBorder="1" applyAlignment="1" applyProtection="1">
      <alignment horizontal="center" vertical="top" wrapText="1"/>
    </xf>
    <xf numFmtId="0" fontId="16" fillId="0" borderId="8" xfId="93" applyFont="1" applyFill="1" applyBorder="1" applyAlignment="1" applyProtection="1">
      <alignment horizontal="center" vertical="top" wrapText="1"/>
    </xf>
    <xf numFmtId="0" fontId="16" fillId="40" borderId="5" xfId="93" applyFont="1" applyFill="1" applyBorder="1" applyAlignment="1" applyProtection="1">
      <alignment horizontal="left" vertical="center" wrapText="1" indent="1"/>
    </xf>
    <xf numFmtId="0" fontId="16" fillId="40" borderId="34" xfId="93" applyFont="1" applyFill="1" applyBorder="1" applyAlignment="1" applyProtection="1">
      <alignment horizontal="left" vertical="center" wrapText="1" indent="1"/>
    </xf>
    <xf numFmtId="0" fontId="16" fillId="41" borderId="47" xfId="93" applyFont="1" applyFill="1" applyBorder="1" applyAlignment="1" applyProtection="1">
      <alignment horizontal="left" vertical="top" wrapText="1" indent="1"/>
    </xf>
    <xf numFmtId="0" fontId="16" fillId="0" borderId="8" xfId="93" applyFont="1" applyFill="1" applyBorder="1" applyAlignment="1" applyProtection="1">
      <alignment horizontal="left" vertical="top" wrapText="1" indent="1"/>
    </xf>
    <xf numFmtId="0" fontId="16" fillId="40" borderId="5" xfId="92" applyFont="1" applyFill="1" applyBorder="1" applyAlignment="1" applyProtection="1">
      <alignment horizontal="left" vertical="center" indent="1"/>
    </xf>
    <xf numFmtId="0" fontId="16" fillId="40" borderId="34" xfId="92" applyFont="1" applyFill="1" applyBorder="1" applyAlignment="1" applyProtection="1">
      <alignment horizontal="left" vertical="center" indent="1"/>
    </xf>
    <xf numFmtId="0" fontId="16" fillId="40" borderId="34" xfId="93" applyFont="1" applyFill="1" applyBorder="1" applyAlignment="1" applyProtection="1">
      <alignment horizontal="center" vertical="center" wrapText="1"/>
    </xf>
    <xf numFmtId="0" fontId="16" fillId="40" borderId="43" xfId="93" applyFont="1" applyFill="1" applyBorder="1" applyAlignment="1" applyProtection="1">
      <alignment horizontal="center" vertical="center" wrapText="1"/>
    </xf>
    <xf numFmtId="164" fontId="11" fillId="37" borderId="8" xfId="0" applyFont="1" applyFill="1" applyBorder="1" applyAlignment="1">
      <alignment horizontal="center"/>
    </xf>
    <xf numFmtId="14" fontId="64" fillId="0" borderId="58" xfId="95" applyNumberFormat="1" applyFont="1" applyBorder="1" applyAlignment="1">
      <alignment horizontal="center" vertical="top" wrapText="1"/>
    </xf>
    <xf numFmtId="0" fontId="64" fillId="0" borderId="21" xfId="95" applyFont="1" applyBorder="1" applyAlignment="1">
      <alignment horizontal="left" vertical="top" wrapText="1" indent="2"/>
    </xf>
    <xf numFmtId="165" fontId="64" fillId="0" borderId="22" xfId="95" applyNumberFormat="1" applyFont="1" applyBorder="1" applyAlignment="1">
      <alignment horizontal="center" vertical="top" wrapText="1"/>
    </xf>
  </cellXfs>
  <cellStyles count="96">
    <cellStyle name="20% - Accent1" xfId="1" builtinId="30"/>
    <cellStyle name="20% - Accent1 2" xfId="2" xr:uid="{00000000-0005-0000-0000-000001000000}"/>
    <cellStyle name="20% - Accent2" xfId="3" builtinId="34"/>
    <cellStyle name="20% - Accent2 2" xfId="4" xr:uid="{00000000-0005-0000-0000-000003000000}"/>
    <cellStyle name="20% - Accent3" xfId="5" builtinId="38"/>
    <cellStyle name="20% - Accent3 2" xfId="6" xr:uid="{00000000-0005-0000-0000-000005000000}"/>
    <cellStyle name="20% - Accent4" xfId="7" builtinId="42"/>
    <cellStyle name="20% - Accent4 2" xfId="8" xr:uid="{00000000-0005-0000-0000-000007000000}"/>
    <cellStyle name="20% - Accent5" xfId="9" builtinId="46"/>
    <cellStyle name="20% - Accent6" xfId="10" builtinId="50"/>
    <cellStyle name="20% - Accent6 2" xfId="11" xr:uid="{00000000-0005-0000-0000-00000A000000}"/>
    <cellStyle name="40% - Accent1" xfId="12" builtinId="31"/>
    <cellStyle name="40% - Accent1 2" xfId="13" xr:uid="{00000000-0005-0000-0000-00000C000000}"/>
    <cellStyle name="40% - Accent2" xfId="14" builtinId="35"/>
    <cellStyle name="40% - Accent3" xfId="15" builtinId="39"/>
    <cellStyle name="40% - Accent3 2" xfId="16" xr:uid="{00000000-0005-0000-0000-00000F000000}"/>
    <cellStyle name="40% - Accent4" xfId="17" builtinId="43"/>
    <cellStyle name="40% - Accent4 2" xfId="18" xr:uid="{00000000-0005-0000-0000-000011000000}"/>
    <cellStyle name="40% - Accent5" xfId="19" builtinId="47"/>
    <cellStyle name="40% - Accent5 2" xfId="20" xr:uid="{00000000-0005-0000-0000-000013000000}"/>
    <cellStyle name="40% - Accent6" xfId="21" builtinId="51"/>
    <cellStyle name="40% - Accent6 2" xfId="22" xr:uid="{00000000-0005-0000-0000-000015000000}"/>
    <cellStyle name="Accent1" xfId="23" builtinId="29"/>
    <cellStyle name="Accent1 2" xfId="24" xr:uid="{00000000-0005-0000-0000-000017000000}"/>
    <cellStyle name="Accent2" xfId="25" builtinId="33"/>
    <cellStyle name="Accent2 2" xfId="26" xr:uid="{00000000-0005-0000-0000-000019000000}"/>
    <cellStyle name="Accent3" xfId="27" builtinId="37"/>
    <cellStyle name="Accent3 2" xfId="28" xr:uid="{00000000-0005-0000-0000-00001B000000}"/>
    <cellStyle name="Accent4" xfId="29" builtinId="41"/>
    <cellStyle name="Accent4 2" xfId="30" xr:uid="{00000000-0005-0000-0000-00001D000000}"/>
    <cellStyle name="Accent5" xfId="31" builtinId="45"/>
    <cellStyle name="Accent6" xfId="32" builtinId="49"/>
    <cellStyle name="Accent6 2" xfId="33" xr:uid="{00000000-0005-0000-0000-000020000000}"/>
    <cellStyle name="Comma0" xfId="34" xr:uid="{00000000-0005-0000-0000-000021000000}"/>
    <cellStyle name="Comma0 2" xfId="35" xr:uid="{00000000-0005-0000-0000-000022000000}"/>
    <cellStyle name="Comma0 3" xfId="36" xr:uid="{00000000-0005-0000-0000-000023000000}"/>
    <cellStyle name="Comma0 4" xfId="37" xr:uid="{00000000-0005-0000-0000-000024000000}"/>
    <cellStyle name="Comma0 5" xfId="38" xr:uid="{00000000-0005-0000-0000-000025000000}"/>
    <cellStyle name="Currency0" xfId="39" xr:uid="{00000000-0005-0000-0000-000026000000}"/>
    <cellStyle name="Currency0 2" xfId="40" xr:uid="{00000000-0005-0000-0000-000027000000}"/>
    <cellStyle name="Currency0 3" xfId="41" xr:uid="{00000000-0005-0000-0000-000028000000}"/>
    <cellStyle name="Currency0 4" xfId="42" xr:uid="{00000000-0005-0000-0000-000029000000}"/>
    <cellStyle name="Currency0 5" xfId="43" xr:uid="{00000000-0005-0000-0000-00002A000000}"/>
    <cellStyle name="Date" xfId="44" xr:uid="{00000000-0005-0000-0000-00002B000000}"/>
    <cellStyle name="Date 2" xfId="45" xr:uid="{00000000-0005-0000-0000-00002C000000}"/>
    <cellStyle name="Date 3" xfId="46" xr:uid="{00000000-0005-0000-0000-00002D000000}"/>
    <cellStyle name="Date 4" xfId="47" xr:uid="{00000000-0005-0000-0000-00002E000000}"/>
    <cellStyle name="Date 5" xfId="48" xr:uid="{00000000-0005-0000-0000-00002F000000}"/>
    <cellStyle name="Fixed" xfId="49" xr:uid="{00000000-0005-0000-0000-000030000000}"/>
    <cellStyle name="Fixed 2" xfId="50" xr:uid="{00000000-0005-0000-0000-000031000000}"/>
    <cellStyle name="Fixed 3" xfId="51" xr:uid="{00000000-0005-0000-0000-000032000000}"/>
    <cellStyle name="Fixed 4" xfId="52" xr:uid="{00000000-0005-0000-0000-000033000000}"/>
    <cellStyle name="Fixed 5" xfId="53" xr:uid="{00000000-0005-0000-0000-000034000000}"/>
    <cellStyle name="Heading 1" xfId="54" builtinId="16" customBuiltin="1"/>
    <cellStyle name="Heading 2" xfId="55" builtinId="17" customBuiltin="1"/>
    <cellStyle name="Hyperlink 2" xfId="56" xr:uid="{00000000-0005-0000-0000-000037000000}"/>
    <cellStyle name="Hyperlink 2 2" xfId="57" xr:uid="{00000000-0005-0000-0000-000038000000}"/>
    <cellStyle name="Hyperlink 2 3" xfId="58" xr:uid="{00000000-0005-0000-0000-000039000000}"/>
    <cellStyle name="Normal" xfId="0" builtinId="0"/>
    <cellStyle name="Normal 2" xfId="59" xr:uid="{00000000-0005-0000-0000-00003B000000}"/>
    <cellStyle name="Normal 2 2" xfId="60" xr:uid="{00000000-0005-0000-0000-00003C000000}"/>
    <cellStyle name="Normal 2 2 2" xfId="61" xr:uid="{00000000-0005-0000-0000-00003D000000}"/>
    <cellStyle name="Normal 2 2 3" xfId="62" xr:uid="{00000000-0005-0000-0000-00003E000000}"/>
    <cellStyle name="Normal 2 3" xfId="63" xr:uid="{00000000-0005-0000-0000-00003F000000}"/>
    <cellStyle name="Normal 2 4" xfId="64" xr:uid="{00000000-0005-0000-0000-000040000000}"/>
    <cellStyle name="Normal 3" xfId="65" xr:uid="{00000000-0005-0000-0000-000041000000}"/>
    <cellStyle name="Normal 4" xfId="66" xr:uid="{00000000-0005-0000-0000-000042000000}"/>
    <cellStyle name="Normal 5" xfId="67" xr:uid="{00000000-0005-0000-0000-000043000000}"/>
    <cellStyle name="Normal 6" xfId="68" xr:uid="{00000000-0005-0000-0000-000044000000}"/>
    <cellStyle name="Normal 7" xfId="88" xr:uid="{00000000-0005-0000-0000-000045000000}"/>
    <cellStyle name="Normal 8" xfId="95" xr:uid="{00000000-0005-0000-0000-000046000000}"/>
    <cellStyle name="Normal_Calculations" xfId="69" xr:uid="{00000000-0005-0000-0000-000047000000}"/>
    <cellStyle name="Normal_Data Entry Sheet" xfId="70" xr:uid="{00000000-0005-0000-0000-000048000000}"/>
    <cellStyle name="Normal_Data Entry Sheet 2" xfId="89" xr:uid="{00000000-0005-0000-0000-000049000000}"/>
    <cellStyle name="Normal_GravCal" xfId="71" xr:uid="{00000000-0005-0000-0000-00004A000000}"/>
    <cellStyle name="Normal_GravCal 2" xfId="91" xr:uid="{00000000-0005-0000-0000-00004B000000}"/>
    <cellStyle name="Normal_GravCal 2 2" xfId="92" xr:uid="{00000000-0005-0000-0000-00004C000000}"/>
    <cellStyle name="Normal_Gravimetric Uncertainty Analysis" xfId="72" xr:uid="{00000000-0005-0000-0000-00004D000000}"/>
    <cellStyle name="Normal_Gravimetric Uncertainty Analysis 2" xfId="90" xr:uid="{00000000-0005-0000-0000-00004E000000}"/>
    <cellStyle name="Normal_Gravimetric Uncertainty Analysis 2 2" xfId="93" xr:uid="{00000000-0005-0000-0000-00004F000000}"/>
    <cellStyle name="Normal_Prover Neck Verification" xfId="73" xr:uid="{00000000-0005-0000-0000-000050000000}"/>
    <cellStyle name="Normal_WA Blank Mass Control Chart" xfId="74" xr:uid="{00000000-0005-0000-0000-000051000000}"/>
    <cellStyle name="Normal_WAMRF-005 (draft-6), Volume Gravimetric" xfId="94" xr:uid="{00000000-0005-0000-0000-000052000000}"/>
    <cellStyle name="Note 2" xfId="75" xr:uid="{00000000-0005-0000-0000-000053000000}"/>
    <cellStyle name="Note 2 2" xfId="76" xr:uid="{00000000-0005-0000-0000-000054000000}"/>
    <cellStyle name="Note 2 3" xfId="77" xr:uid="{00000000-0005-0000-0000-000055000000}"/>
    <cellStyle name="Percent" xfId="78" builtinId="5"/>
    <cellStyle name="Percent 2" xfId="79" xr:uid="{00000000-0005-0000-0000-000057000000}"/>
    <cellStyle name="Percent 2 2" xfId="80" xr:uid="{00000000-0005-0000-0000-000058000000}"/>
    <cellStyle name="Percent 2 3" xfId="81" xr:uid="{00000000-0005-0000-0000-000059000000}"/>
    <cellStyle name="Percent 2 4" xfId="82" xr:uid="{00000000-0005-0000-0000-00005A000000}"/>
    <cellStyle name="Total" xfId="83" builtinId="25" customBuiltin="1"/>
    <cellStyle name="Total 2" xfId="84" xr:uid="{00000000-0005-0000-0000-00005C000000}"/>
    <cellStyle name="Total 3" xfId="85" xr:uid="{00000000-0005-0000-0000-00005D000000}"/>
    <cellStyle name="Total 4" xfId="86" xr:uid="{00000000-0005-0000-0000-00005E000000}"/>
    <cellStyle name="Total 5" xfId="87" xr:uid="{00000000-0005-0000-0000-00005F000000}"/>
  </cellStyles>
  <dxfs count="130">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rgb="FFFF0000"/>
        </patternFill>
      </fill>
    </dxf>
    <dxf>
      <fill>
        <patternFill>
          <fgColor auto="1"/>
          <bgColor rgb="FF92D050"/>
        </patternFill>
      </fill>
    </dxf>
    <dxf>
      <font>
        <color theme="2" tint="-0.499984740745262"/>
      </font>
      <fill>
        <patternFill>
          <bgColor theme="2" tint="-0.499984740745262"/>
        </patternFill>
      </fill>
    </dxf>
    <dxf>
      <fill>
        <gradientFill degree="90">
          <stop position="0">
            <color theme="0"/>
          </stop>
          <stop position="1">
            <color rgb="FF00B050"/>
          </stop>
        </gradientFill>
      </fill>
    </dxf>
    <dxf>
      <fill>
        <gradientFill degree="90">
          <stop position="0">
            <color theme="0"/>
          </stop>
          <stop position="1">
            <color rgb="FFFF0000"/>
          </stop>
        </gradientFill>
      </fill>
    </dxf>
    <dxf>
      <fill>
        <patternFill>
          <bgColor theme="8" tint="0.59996337778862885"/>
        </patternFill>
      </fill>
    </dxf>
    <dxf>
      <font>
        <strike val="0"/>
      </font>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ill>
        <patternFill>
          <bgColor rgb="FFFFFF99"/>
        </patternFill>
      </fill>
    </dxf>
    <dxf>
      <fill>
        <gradientFill degree="90">
          <stop position="0">
            <color theme="0"/>
          </stop>
          <stop position="1">
            <color theme="2" tint="-0.49803155613879818"/>
          </stop>
        </gradientFill>
      </fill>
    </dxf>
    <dxf>
      <fill>
        <gradientFill degree="90">
          <stop position="0">
            <color theme="0"/>
          </stop>
          <stop position="1">
            <color theme="2" tint="-0.49803155613879818"/>
          </stop>
        </gradientFill>
      </fill>
    </dxf>
    <dxf>
      <fill>
        <gradientFill degree="90">
          <stop position="0">
            <color theme="0"/>
          </stop>
          <stop position="1">
            <color rgb="FFFF0000"/>
          </stop>
        </gradientFill>
      </fill>
    </dxf>
    <dxf>
      <fill>
        <gradientFill degree="90">
          <stop position="0">
            <color theme="0"/>
          </stop>
          <stop position="1">
            <color rgb="FF92D050"/>
          </stop>
        </gradientFill>
      </fill>
    </dxf>
    <dxf>
      <fill>
        <gradientFill degree="90">
          <stop position="0">
            <color theme="0"/>
          </stop>
          <stop position="1">
            <color theme="2" tint="-0.49803155613879818"/>
          </stop>
        </gradientFill>
      </fill>
    </dxf>
    <dxf>
      <fill>
        <gradientFill degree="90">
          <stop position="0">
            <color theme="0"/>
          </stop>
          <stop position="1">
            <color rgb="FFFF0000"/>
          </stop>
        </gradientFill>
      </fill>
    </dxf>
    <dxf>
      <fill>
        <gradientFill degree="90">
          <stop position="0">
            <color theme="0"/>
          </stop>
          <stop position="1">
            <color rgb="FF92D050"/>
          </stop>
        </gradientFill>
      </fill>
    </dxf>
    <dxf>
      <fill>
        <gradientFill degree="90">
          <stop position="0">
            <color theme="0"/>
          </stop>
          <stop position="1">
            <color theme="2" tint="-0.49803155613879818"/>
          </stop>
        </gradientFill>
      </fill>
    </dxf>
    <dxf>
      <font>
        <strike val="0"/>
      </font>
      <fill>
        <gradientFill degree="90">
          <stop position="0">
            <color theme="0"/>
          </stop>
          <stop position="1">
            <color theme="2" tint="-0.49803155613879818"/>
          </stop>
        </gradientFill>
      </fill>
    </dxf>
    <dxf>
      <fill>
        <gradientFill degree="90">
          <stop position="0">
            <color theme="0"/>
          </stop>
          <stop position="1">
            <color rgb="FFFF0000"/>
          </stop>
        </gradientFill>
      </fill>
    </dxf>
    <dxf>
      <fill>
        <gradientFill degree="90">
          <stop position="0">
            <color theme="0"/>
          </stop>
          <stop position="1">
            <color rgb="FF00B050"/>
          </stop>
        </gradientFill>
      </fill>
    </dxf>
    <dxf>
      <font>
        <color theme="2" tint="-0.499984740745262"/>
      </font>
      <fill>
        <gradientFill degree="90">
          <stop position="0">
            <color theme="0"/>
          </stop>
          <stop position="1">
            <color theme="2" tint="-0.49803155613879818"/>
          </stop>
        </gradientFill>
      </fill>
    </dxf>
    <dxf>
      <fill>
        <gradientFill degree="90">
          <stop position="0">
            <color theme="0"/>
          </stop>
          <stop position="1">
            <color rgb="FFFF0000"/>
          </stop>
        </gradientFill>
      </fill>
    </dxf>
    <dxf>
      <fill>
        <gradientFill degree="90">
          <stop position="0">
            <color theme="0"/>
          </stop>
          <stop position="1">
            <color rgb="FF00B050"/>
          </stop>
        </gradientFill>
      </fill>
    </dxf>
    <dxf>
      <font>
        <color theme="2" tint="-0.499984740745262"/>
      </font>
      <fill>
        <gradientFill degree="90">
          <stop position="0">
            <color theme="0"/>
          </stop>
          <stop position="1">
            <color theme="2" tint="-0.49803155613879818"/>
          </stop>
        </gradientFill>
      </fill>
    </dxf>
    <dxf>
      <fill>
        <gradientFill degree="90">
          <stop position="0">
            <color theme="0"/>
          </stop>
          <stop position="1">
            <color rgb="FFFF0000"/>
          </stop>
        </gradientFill>
      </fill>
    </dxf>
    <dxf>
      <font>
        <strike val="0"/>
      </font>
      <fill>
        <gradientFill degree="90">
          <stop position="0">
            <color theme="0"/>
          </stop>
          <stop position="1">
            <color rgb="FF92D050"/>
          </stop>
        </gradientFill>
      </fill>
    </dxf>
    <dxf>
      <fill>
        <gradientFill degree="90">
          <stop position="0">
            <color theme="0"/>
          </stop>
          <stop position="1">
            <color rgb="FFFF0000"/>
          </stop>
        </gradientFill>
      </fill>
    </dxf>
    <dxf>
      <fill>
        <gradientFill degree="90">
          <stop position="0">
            <color theme="0"/>
          </stop>
          <stop position="1">
            <color rgb="FF92D050"/>
          </stop>
        </gradientFill>
      </fill>
    </dxf>
    <dxf>
      <fill>
        <gradientFill degree="90">
          <stop position="0">
            <color theme="0"/>
          </stop>
          <stop position="1">
            <color theme="2" tint="-0.49803155613879818"/>
          </stop>
        </gradientFill>
      </fill>
    </dxf>
    <dxf>
      <fill>
        <gradientFill degree="90">
          <stop position="0">
            <color theme="0"/>
          </stop>
          <stop position="1">
            <color rgb="FFFF0000"/>
          </stop>
        </gradientFill>
      </fill>
    </dxf>
    <dxf>
      <fill>
        <gradientFill degree="90">
          <stop position="0">
            <color theme="0"/>
          </stop>
          <stop position="1">
            <color rgb="FF92D050"/>
          </stop>
        </gradientFill>
      </fill>
    </dxf>
    <dxf>
      <fill>
        <patternFill>
          <bgColor theme="8" tint="0.59996337778862885"/>
        </patternFill>
      </fill>
    </dxf>
    <dxf>
      <font>
        <strike val="0"/>
      </font>
      <fill>
        <patternFill>
          <bgColor rgb="FFFFFF99"/>
        </patternFill>
      </fill>
    </dxf>
    <dxf>
      <fill>
        <gradientFill degree="90">
          <stop position="0">
            <color theme="0"/>
          </stop>
          <stop position="1">
            <color rgb="FFFF0000"/>
          </stop>
        </gradientFill>
      </fill>
    </dxf>
    <dxf>
      <fill>
        <gradientFill degree="90">
          <stop position="0">
            <color theme="0"/>
          </stop>
          <stop position="1">
            <color rgb="FF92D050"/>
          </stop>
        </gradientFill>
      </fill>
    </dxf>
    <dxf>
      <fill>
        <gradientFill degree="90">
          <stop position="0">
            <color theme="0"/>
          </stop>
          <stop position="1">
            <color theme="2" tint="-0.49803155613879818"/>
          </stop>
        </gradientFill>
      </fill>
    </dxf>
    <dxf>
      <font>
        <strike val="0"/>
        <color theme="0"/>
      </font>
      <fill>
        <patternFill patternType="none">
          <fgColor auto="1"/>
          <bgColor auto="1"/>
        </patternFill>
      </fill>
      <border>
        <left/>
        <right/>
        <top/>
        <bottom/>
        <vertical/>
        <horizontal/>
      </border>
    </dxf>
    <dxf>
      <font>
        <strike val="0"/>
        <color theme="0"/>
      </font>
      <fill>
        <patternFill patternType="none">
          <fgColor auto="1"/>
          <bgColor auto="1"/>
        </patternFill>
      </fill>
      <border>
        <left/>
        <right/>
        <top/>
        <bottom/>
        <vertical/>
        <horizontal/>
      </border>
    </dxf>
    <dxf>
      <font>
        <strike val="0"/>
        <color theme="6" tint="0.79998168889431442"/>
      </font>
    </dxf>
    <dxf>
      <fill>
        <gradientFill degree="90">
          <stop position="0">
            <color theme="0"/>
          </stop>
          <stop position="1">
            <color rgb="FFFF0000"/>
          </stop>
        </gradientFill>
      </fill>
    </dxf>
    <dxf>
      <fill>
        <gradientFill degree="90">
          <stop position="0">
            <color theme="0"/>
          </stop>
          <stop position="1">
            <color rgb="FF00B050"/>
          </stop>
        </gradientFill>
      </fill>
    </dxf>
    <dxf>
      <font>
        <color theme="2" tint="-0.499984740745262"/>
      </font>
      <fill>
        <gradientFill degree="90">
          <stop position="0">
            <color theme="0"/>
          </stop>
          <stop position="1">
            <color theme="2" tint="-0.49803155613879818"/>
          </stop>
        </gradientFill>
      </fill>
    </dxf>
    <dxf>
      <fill>
        <gradientFill degree="90">
          <stop position="0">
            <color theme="0"/>
          </stop>
          <stop position="1">
            <color rgb="FFFF0000"/>
          </stop>
        </gradientFill>
      </fill>
    </dxf>
    <dxf>
      <fill>
        <gradientFill degree="90">
          <stop position="0">
            <color theme="0"/>
          </stop>
          <stop position="1">
            <color rgb="FF00B050"/>
          </stop>
        </gradientFill>
      </fill>
    </dxf>
    <dxf>
      <font>
        <color theme="2" tint="-0.499984740745262"/>
      </font>
      <fill>
        <gradientFill degree="90">
          <stop position="0">
            <color theme="0"/>
          </stop>
          <stop position="1">
            <color theme="2" tint="-0.49803155613879818"/>
          </stop>
        </gradientFill>
      </fill>
    </dxf>
    <dxf>
      <fill>
        <patternFill>
          <bgColor theme="8" tint="0.59996337778862885"/>
        </patternFill>
      </fill>
    </dxf>
    <dxf>
      <font>
        <strike val="0"/>
      </font>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ont>
        <strike val="0"/>
      </font>
      <fill>
        <patternFill>
          <bgColor rgb="FFFFFF99"/>
        </patternFill>
      </fill>
    </dxf>
    <dxf>
      <font>
        <strike val="0"/>
        <color theme="0"/>
      </font>
      <fill>
        <gradientFill degree="90">
          <stop position="0">
            <color theme="0"/>
          </stop>
          <stop position="1">
            <color theme="0"/>
          </stop>
        </gradientFill>
      </fill>
    </dxf>
    <dxf>
      <font>
        <strike val="0"/>
        <color theme="0"/>
      </font>
      <fill>
        <gradientFill degree="90">
          <stop position="0">
            <color theme="0"/>
          </stop>
          <stop position="1">
            <color theme="0"/>
          </stop>
        </gradientFill>
      </fill>
    </dxf>
    <dxf>
      <fill>
        <patternFill>
          <bgColor theme="8" tint="0.59996337778862885"/>
        </patternFill>
      </fill>
    </dxf>
    <dxf>
      <font>
        <strike val="0"/>
      </font>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ont>
        <strike val="0"/>
      </font>
      <fill>
        <patternFill>
          <bgColor rgb="FFFFFF99"/>
        </patternFill>
      </fill>
    </dxf>
    <dxf>
      <font>
        <strike val="0"/>
        <color theme="0"/>
      </font>
      <fill>
        <patternFill patternType="none">
          <fgColor auto="1"/>
          <bgColor auto="1"/>
        </patternFill>
      </fill>
      <border>
        <left/>
        <right/>
        <top/>
        <bottom/>
        <vertical/>
        <horizontal/>
      </border>
    </dxf>
    <dxf>
      <font>
        <strike val="0"/>
        <color theme="0"/>
      </font>
      <fill>
        <patternFill patternType="none">
          <fgColor auto="1"/>
          <bgColor auto="1"/>
        </patternFill>
      </fill>
      <border>
        <left/>
        <right/>
        <top/>
        <bottom/>
        <vertical/>
        <horizontal/>
      </border>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ont>
        <strike val="0"/>
      </font>
      <fill>
        <patternFill>
          <bgColor rgb="FFFFFF99"/>
        </patternFill>
      </fill>
    </dxf>
    <dxf>
      <fill>
        <patternFill>
          <bgColor theme="8" tint="0.59996337778862885"/>
        </patternFill>
      </fill>
    </dxf>
    <dxf>
      <fill>
        <patternFill>
          <bgColor rgb="FFFFFF99"/>
        </patternFill>
      </fill>
    </dxf>
    <dxf>
      <fill>
        <patternFill>
          <bgColor theme="8" tint="0.59996337778862885"/>
        </patternFill>
      </fill>
    </dxf>
    <dxf>
      <fill>
        <patternFill>
          <bgColor rgb="FFFFFF99"/>
        </patternFill>
      </fill>
    </dxf>
    <dxf>
      <font>
        <strike val="0"/>
      </font>
      <fill>
        <patternFill>
          <bgColor rgb="FFFFFF99"/>
        </patternFill>
      </fill>
    </dxf>
    <dxf>
      <fill>
        <patternFill>
          <bgColor theme="8" tint="0.59996337778862885"/>
        </patternFill>
      </fill>
    </dxf>
    <dxf>
      <font>
        <b/>
        <i val="0"/>
      </font>
      <fill>
        <gradientFill degree="90">
          <stop position="0">
            <color theme="0"/>
          </stop>
          <stop position="1">
            <color rgb="FFFF0000"/>
          </stop>
        </gradientFill>
      </fill>
    </dxf>
    <dxf>
      <fill>
        <gradientFill degree="90">
          <stop position="0">
            <color theme="0"/>
          </stop>
          <stop position="1">
            <color rgb="FF00B050"/>
          </stop>
        </gradientFill>
      </fill>
    </dxf>
    <dxf>
      <font>
        <b/>
        <i val="0"/>
        <strike val="0"/>
      </font>
      <fill>
        <gradientFill degree="90">
          <stop position="0">
            <color theme="0"/>
          </stop>
          <stop position="1">
            <color rgb="FFFFFF00"/>
          </stop>
        </gradientFill>
      </fill>
    </dxf>
    <dxf>
      <fill>
        <gradientFill degree="90">
          <stop position="0">
            <color theme="0"/>
          </stop>
          <stop position="1">
            <color rgb="FF00B050"/>
          </stop>
        </gradientFill>
      </fill>
    </dxf>
    <dxf>
      <font>
        <b/>
        <i val="0"/>
      </font>
      <fill>
        <gradientFill degree="90">
          <stop position="0">
            <color theme="0"/>
          </stop>
          <stop position="1">
            <color rgb="FFFF0000"/>
          </stop>
        </gradientFill>
      </fill>
    </dxf>
    <dxf>
      <fill>
        <gradientFill degree="90">
          <stop position="0">
            <color theme="0"/>
          </stop>
          <stop position="1">
            <color rgb="FF00B050"/>
          </stop>
        </gradientFill>
      </fill>
    </dxf>
    <dxf>
      <font>
        <strike val="0"/>
        <color theme="0"/>
      </font>
      <fill>
        <gradientFill degree="90">
          <stop position="0">
            <color theme="0"/>
          </stop>
          <stop position="1">
            <color theme="0"/>
          </stop>
        </gradientFill>
      </fill>
    </dxf>
    <dxf>
      <font>
        <strike val="0"/>
        <color theme="0"/>
      </font>
      <fill>
        <gradientFill degree="90">
          <stop position="0">
            <color theme="0"/>
          </stop>
          <stop position="1">
            <color theme="0"/>
          </stop>
        </gradientFill>
      </fill>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general" vertical="top" textRotation="0" wrapText="1" relativeIndent="0" justifyLastLine="0" shrinkToFit="0" readingOrder="0"/>
    </dxf>
    <dxf>
      <font>
        <b val="0"/>
        <i val="0"/>
        <strike val="0"/>
        <condense val="0"/>
        <extend val="0"/>
        <outline val="0"/>
        <shadow val="0"/>
        <u val="none"/>
        <vertAlign val="baseline"/>
        <sz val="12"/>
        <color auto="1"/>
        <name val="Trebuchet MS"/>
        <scheme val="none"/>
      </font>
      <numFmt numFmtId="19" formatCode="m/d/yyyy"/>
      <fill>
        <patternFill patternType="none">
          <fgColor indexed="64"/>
          <bgColor indexed="65"/>
        </patternFill>
      </fill>
      <alignment horizontal="center" vertical="top" textRotation="0" wrapText="1" relativeIndent="0" justifyLastLine="0" shrinkToFit="0" readingOrder="0"/>
    </dxf>
    <dxf>
      <border outline="0">
        <left style="medium">
          <color rgb="FF000080"/>
        </left>
        <right style="medium">
          <color rgb="FF000080"/>
        </right>
        <top style="medium">
          <color rgb="FF000080"/>
        </top>
      </border>
    </dxf>
    <dxf>
      <border outline="0">
        <bottom style="thick">
          <color rgb="FF000080"/>
        </bottom>
      </border>
    </dxf>
    <dxf>
      <font>
        <b val="0"/>
        <i val="0"/>
        <strike val="0"/>
        <outline val="0"/>
        <shadow val="0"/>
        <u val="none"/>
        <vertAlign val="baseline"/>
        <color auto="1"/>
      </font>
      <fill>
        <patternFill patternType="none">
          <fgColor indexed="64"/>
          <bgColor indexed="65"/>
        </patternFill>
      </fill>
    </dxf>
    <dxf>
      <font>
        <b val="0"/>
        <i val="0"/>
        <strike val="0"/>
        <condense val="0"/>
        <extend val="0"/>
        <outline val="0"/>
        <shadow val="0"/>
        <u val="none"/>
        <vertAlign val="baseline"/>
        <sz val="12"/>
        <color auto="1"/>
        <name val="Trebuchet MS"/>
        <scheme val="none"/>
      </font>
      <fill>
        <patternFill patternType="none">
          <fgColor indexed="64"/>
          <bgColor indexed="65"/>
        </patternFill>
      </fill>
      <alignment horizontal="general" vertical="top" textRotation="0" wrapText="1" relativeIndent="0" justifyLastLine="0" shrinkToFit="0" readingOrder="0"/>
    </dxf>
    <dxf>
      <font>
        <b val="0"/>
        <i val="0"/>
        <strike val="0"/>
        <condense val="0"/>
        <extend val="0"/>
        <outline val="0"/>
        <shadow val="0"/>
        <u val="none"/>
        <vertAlign val="baseline"/>
        <sz val="12"/>
        <color auto="1"/>
        <name val="Trebuchet MS"/>
        <scheme val="none"/>
      </font>
      <numFmt numFmtId="19" formatCode="m/d/yyyy"/>
      <fill>
        <patternFill patternType="none">
          <fgColor indexed="64"/>
          <bgColor indexed="65"/>
        </patternFill>
      </fill>
      <alignment horizontal="general" vertical="top" textRotation="0" wrapText="1" indent="0" justifyLastLine="0" shrinkToFit="0" readingOrder="0"/>
    </dxf>
    <dxf>
      <border outline="0">
        <left style="medium">
          <color rgb="FF000080"/>
        </left>
        <right style="medium">
          <color rgb="FF000080"/>
        </right>
        <top style="medium">
          <color rgb="FF000080"/>
        </top>
      </border>
    </dxf>
    <dxf>
      <font>
        <strike val="0"/>
        <outline val="0"/>
        <shadow val="0"/>
        <u val="none"/>
        <vertAlign val="baseline"/>
        <color auto="1"/>
      </font>
      <fill>
        <patternFill patternType="none">
          <fgColor indexed="64"/>
          <bgColor indexed="65"/>
        </patternFill>
      </fill>
    </dxf>
    <dxf>
      <border outline="0">
        <bottom style="thick">
          <color rgb="FF000080"/>
        </bottom>
      </border>
    </dxf>
    <dxf>
      <font>
        <b val="0"/>
        <i val="0"/>
        <strike val="0"/>
        <outline val="0"/>
        <shadow val="0"/>
        <u val="none"/>
        <vertAlign val="baseline"/>
        <color auto="1"/>
      </font>
      <fill>
        <patternFill patternType="none">
          <fgColor indexed="64"/>
          <bgColor indexed="65"/>
        </patternFill>
      </fill>
    </dxf>
    <dxf>
      <font>
        <b val="0"/>
        <i val="0"/>
        <strike val="0"/>
        <condense val="0"/>
        <extend val="0"/>
        <outline val="0"/>
        <shadow val="0"/>
        <u val="none"/>
        <vertAlign val="baseline"/>
        <sz val="12"/>
        <color rgb="FF000000"/>
        <name val="Trebuchet MS"/>
        <scheme val="none"/>
      </font>
      <numFmt numFmtId="165" formatCode="0000"/>
      <alignment horizontal="center"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Trebuchet MS"/>
        <scheme val="none"/>
      </font>
      <alignment horizontal="left" vertical="top"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Trebuchet MS"/>
        <scheme val="none"/>
      </font>
      <alignment horizontal="left" vertical="top"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Trebuchet MS"/>
        <scheme val="none"/>
      </font>
      <alignment horizontal="left" vertical="top" textRotation="0" wrapText="1" relativeIndent="1"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Trebuchet MS"/>
        <scheme val="none"/>
      </font>
      <numFmt numFmtId="19" formatCode="m/d/yyyy"/>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double">
          <color indexed="64"/>
        </left>
        <right style="double">
          <color indexed="64"/>
        </right>
        <top style="double">
          <color indexed="64"/>
        </top>
        <bottom style="double">
          <color indexed="64"/>
        </bottom>
      </border>
    </dxf>
    <dxf>
      <alignment vertical="top" textRotation="0" indent="0" justifyLastLine="0" shrinkToFit="0" readingOrder="0"/>
    </dxf>
    <dxf>
      <border>
        <bottom style="thin">
          <color indexed="64"/>
        </bottom>
      </border>
    </dxf>
    <dxf>
      <font>
        <b/>
        <i val="0"/>
        <strike val="0"/>
        <condense val="0"/>
        <extend val="0"/>
        <outline val="0"/>
        <shadow val="0"/>
        <u val="none"/>
        <vertAlign val="baseline"/>
        <sz val="11"/>
        <color rgb="FF000000"/>
        <name val="Trebuchet MS"/>
        <scheme val="none"/>
      </font>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74159"/>
      <color rgb="FFEF8191"/>
      <color rgb="FFF1819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rebuchet MS" panose="020B0603020202020204" pitchFamily="34" charset="0"/>
                <a:ea typeface="Arial"/>
                <a:cs typeface="Arial"/>
              </a:defRPr>
            </a:pPr>
            <a:r>
              <a:rPr lang="en-US">
                <a:latin typeface="Trebuchet MS" panose="020B0603020202020204" pitchFamily="34" charset="0"/>
              </a:rPr>
              <a:t>Linearity of Scale Reading vs Volume Added (2.4.3.10)</a:t>
            </a:r>
          </a:p>
        </c:rich>
      </c:tx>
      <c:layout>
        <c:manualLayout>
          <c:xMode val="edge"/>
          <c:yMode val="edge"/>
          <c:x val="0.28301932979007272"/>
          <c:y val="3.2995056436716734E-2"/>
        </c:manualLayout>
      </c:layout>
      <c:overlay val="0"/>
      <c:spPr>
        <a:noFill/>
        <a:ln w="25400">
          <a:noFill/>
        </a:ln>
      </c:spPr>
    </c:title>
    <c:autoTitleDeleted val="0"/>
    <c:plotArea>
      <c:layout>
        <c:manualLayout>
          <c:layoutTarget val="inner"/>
          <c:xMode val="edge"/>
          <c:yMode val="edge"/>
          <c:x val="9.1542177256907054E-2"/>
          <c:y val="0.15730580769539723"/>
          <c:w val="0.88176760840623947"/>
          <c:h val="0.5920665649181995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spPr>
              <a:noFill/>
              <a:ln w="25400">
                <a:noFill/>
              </a:ln>
            </c:spPr>
            <c:txPr>
              <a:bodyPr/>
              <a:lstStyle/>
              <a:p>
                <a:pPr>
                  <a:defRPr sz="10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'Data Entry'!$A$42:$D$48</c:f>
              <c:multiLvlStrCache>
                <c:ptCount val="7"/>
                <c:lvl>
                  <c:pt idx="1">
                    <c:v>♦</c:v>
                  </c:pt>
                  <c:pt idx="2">
                    <c:v>♦</c:v>
                  </c:pt>
                  <c:pt idx="3">
                    <c:v>♦</c:v>
                  </c:pt>
                  <c:pt idx="4">
                    <c:v>♦</c:v>
                  </c:pt>
                  <c:pt idx="5">
                    <c:v>♦</c:v>
                  </c:pt>
                  <c:pt idx="6">
                    <c:v>♦</c:v>
                  </c:pt>
                </c:lvl>
                <c:lvl>
                  <c:pt idx="0">
                    <c:v>Initial Scale Reading(sri) ♦</c:v>
                  </c:pt>
                  <c:pt idx="1">
                    <c:v>1st</c:v>
                  </c:pt>
                  <c:pt idx="2">
                    <c:v>2nd</c:v>
                  </c:pt>
                  <c:pt idx="3">
                    <c:v>3rd</c:v>
                  </c:pt>
                  <c:pt idx="4">
                    <c:v>4th</c:v>
                  </c:pt>
                  <c:pt idx="5">
                    <c:v>5th</c:v>
                  </c:pt>
                  <c:pt idx="6">
                    <c:v>Final (srf)</c:v>
                  </c:pt>
                </c:lvl>
              </c:multiLvlStrCache>
            </c:multiLvlStrRef>
          </c:cat>
          <c:val>
            <c:numRef>
              <c:f>'Data Entry'!$E$42:$E$48</c:f>
              <c:numCache>
                <c:formatCode>General</c:formatCode>
                <c:ptCount val="7"/>
              </c:numCache>
            </c:numRef>
          </c:val>
          <c:smooth val="0"/>
          <c:extLst>
            <c:ext xmlns:c16="http://schemas.microsoft.com/office/drawing/2014/chart" uri="{C3380CC4-5D6E-409C-BE32-E72D297353CC}">
              <c16:uniqueId val="{00000000-E85E-44A6-847D-B57E0FD5701D}"/>
            </c:ext>
          </c:extLst>
        </c:ser>
        <c:dLbls>
          <c:showLegendKey val="0"/>
          <c:showVal val="1"/>
          <c:showCatName val="0"/>
          <c:showSerName val="0"/>
          <c:showPercent val="0"/>
          <c:showBubbleSize val="0"/>
        </c:dLbls>
        <c:marker val="1"/>
        <c:smooth val="0"/>
        <c:axId val="735920568"/>
        <c:axId val="735924880"/>
      </c:lineChart>
      <c:catAx>
        <c:axId val="735920568"/>
        <c:scaling>
          <c:orientation val="minMax"/>
        </c:scaling>
        <c:delete val="0"/>
        <c:axPos val="b"/>
        <c:title>
          <c:tx>
            <c:rich>
              <a:bodyPr/>
              <a:lstStyle/>
              <a:p>
                <a:pPr>
                  <a:defRPr sz="1000" b="1" i="0" u="none" strike="noStrike" baseline="0">
                    <a:solidFill>
                      <a:srgbClr val="000000"/>
                    </a:solidFill>
                    <a:latin typeface="Trebuchet MS" panose="020B0603020202020204" pitchFamily="34" charset="0"/>
                    <a:ea typeface="Arial"/>
                    <a:cs typeface="Arial"/>
                  </a:defRPr>
                </a:pPr>
                <a:r>
                  <a:rPr lang="en-US">
                    <a:latin typeface="Trebuchet MS" panose="020B0603020202020204" pitchFamily="34" charset="0"/>
                  </a:rPr>
                  <a:t>Volume Added</a:t>
                </a:r>
              </a:p>
            </c:rich>
          </c:tx>
          <c:layout>
            <c:manualLayout>
              <c:xMode val="edge"/>
              <c:yMode val="edge"/>
              <c:x val="0.46920556823723636"/>
              <c:y val="0.9256285645433368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Trebuchet MS" panose="020B0603020202020204" pitchFamily="34" charset="0"/>
                <a:ea typeface="Arial"/>
                <a:cs typeface="Arial"/>
              </a:defRPr>
            </a:pPr>
            <a:endParaRPr lang="en-US"/>
          </a:p>
        </c:txPr>
        <c:crossAx val="735924880"/>
        <c:crosses val="autoZero"/>
        <c:auto val="1"/>
        <c:lblAlgn val="ctr"/>
        <c:lblOffset val="100"/>
        <c:tickLblSkip val="1"/>
        <c:tickMarkSkip val="1"/>
        <c:noMultiLvlLbl val="0"/>
      </c:catAx>
      <c:valAx>
        <c:axId val="73592488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rebuchet MS" panose="020B0603020202020204" pitchFamily="34" charset="0"/>
                    <a:ea typeface="Arial"/>
                    <a:cs typeface="Arial"/>
                  </a:defRPr>
                </a:pPr>
                <a:r>
                  <a:rPr lang="en-US">
                    <a:latin typeface="Trebuchet MS" panose="020B0603020202020204" pitchFamily="34" charset="0"/>
                  </a:rPr>
                  <a:t>Scale Indication</a:t>
                </a:r>
              </a:p>
            </c:rich>
          </c:tx>
          <c:layout>
            <c:manualLayout>
              <c:xMode val="edge"/>
              <c:yMode val="edge"/>
              <c:x val="1.8610618386034374E-2"/>
              <c:y val="0.2753582356304331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ahoma" panose="020B0604030504040204" pitchFamily="34" charset="0"/>
                <a:ea typeface="Tahoma" panose="020B0604030504040204" pitchFamily="34" charset="0"/>
                <a:cs typeface="Tahoma" panose="020B0604030504040204" pitchFamily="34" charset="0"/>
              </a:defRPr>
            </a:pPr>
            <a:endParaRPr lang="en-US"/>
          </a:p>
        </c:txPr>
        <c:crossAx val="735920568"/>
        <c:crosses val="autoZero"/>
        <c:crossBetween val="between"/>
      </c:valAx>
      <c:spPr>
        <a:solidFill>
          <a:schemeClr val="bg2"/>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Trebuchet MS"/>
                <a:ea typeface="Trebuchet MS"/>
                <a:cs typeface="Trebuchet MS"/>
              </a:defRPr>
            </a:pPr>
            <a:r>
              <a:rPr lang="en-US"/>
              <a:t>Uncertainty Analysis SOP 31 Scale Plate Calibration</a:t>
            </a:r>
          </a:p>
        </c:rich>
      </c:tx>
      <c:layout>
        <c:manualLayout>
          <c:xMode val="edge"/>
          <c:yMode val="edge"/>
          <c:x val="0.34198985721192177"/>
          <c:y val="3.1945900279298549E-2"/>
        </c:manualLayout>
      </c:layout>
      <c:overlay val="0"/>
      <c:spPr>
        <a:noFill/>
        <a:ln w="25400">
          <a:noFill/>
        </a:ln>
      </c:spPr>
    </c:title>
    <c:autoTitleDeleted val="0"/>
    <c:plotArea>
      <c:layout>
        <c:manualLayout>
          <c:layoutTarget val="inner"/>
          <c:xMode val="edge"/>
          <c:yMode val="edge"/>
          <c:x val="0.13341473056854911"/>
          <c:y val="0.13912945140974969"/>
          <c:w val="0.83739584824624191"/>
          <c:h val="0.5760482813900869"/>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'Uncertainty Analysis'!$C$63:$C$65</c:f>
              <c:strCache>
                <c:ptCount val="3"/>
                <c:pt idx="0">
                  <c:v>us</c:v>
                </c:pt>
                <c:pt idx="1">
                  <c:v>umS</c:v>
                </c:pt>
                <c:pt idx="2">
                  <c:v>umX</c:v>
                </c:pt>
              </c:strCache>
            </c:strRef>
          </c:cat>
          <c:val>
            <c:numRef>
              <c:f>'Uncertainty Analysis'!$J$63:$J$65</c:f>
              <c:numCache>
                <c:formatCode>General</c:formatCode>
                <c:ptCount val="3"/>
                <c:pt idx="0">
                  <c:v>0</c:v>
                </c:pt>
                <c:pt idx="1">
                  <c:v>0</c:v>
                </c:pt>
                <c:pt idx="2">
                  <c:v>0</c:v>
                </c:pt>
              </c:numCache>
            </c:numRef>
          </c:val>
          <c:extLst>
            <c:ext xmlns:c16="http://schemas.microsoft.com/office/drawing/2014/chart" uri="{C3380CC4-5D6E-409C-BE32-E72D297353CC}">
              <c16:uniqueId val="{00000000-56F2-4067-9C4C-7DBEABEAE141}"/>
            </c:ext>
          </c:extLst>
        </c:ser>
        <c:dLbls>
          <c:showLegendKey val="0"/>
          <c:showVal val="0"/>
          <c:showCatName val="0"/>
          <c:showSerName val="0"/>
          <c:showPercent val="0"/>
          <c:showBubbleSize val="0"/>
        </c:dLbls>
        <c:gapWidth val="150"/>
        <c:axId val="562548584"/>
        <c:axId val="562547408"/>
      </c:barChart>
      <c:catAx>
        <c:axId val="562548584"/>
        <c:scaling>
          <c:orientation val="minMax"/>
        </c:scaling>
        <c:delete val="0"/>
        <c:axPos val="b"/>
        <c:title>
          <c:tx>
            <c:rich>
              <a:bodyPr/>
              <a:lstStyle/>
              <a:p>
                <a:pPr>
                  <a:defRPr sz="1200" b="0" i="0" u="none" strike="noStrike" baseline="0">
                    <a:solidFill>
                      <a:srgbClr val="000000"/>
                    </a:solidFill>
                    <a:latin typeface="Trebuchet MS"/>
                    <a:ea typeface="Trebuchet MS"/>
                    <a:cs typeface="Trebuchet MS"/>
                  </a:defRPr>
                </a:pPr>
                <a:r>
                  <a:rPr lang="en-US"/>
                  <a:t>Impact of Uncertainty Components</a:t>
                </a:r>
              </a:p>
            </c:rich>
          </c:tx>
          <c:layout>
            <c:manualLayout>
              <c:xMode val="edge"/>
              <c:yMode val="edge"/>
              <c:x val="0.42551435480193822"/>
              <c:y val="0.870536594734521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rebuchet MS"/>
                <a:ea typeface="Trebuchet MS"/>
                <a:cs typeface="Trebuchet MS"/>
              </a:defRPr>
            </a:pPr>
            <a:endParaRPr lang="en-US"/>
          </a:p>
        </c:txPr>
        <c:crossAx val="562547408"/>
        <c:crosses val="autoZero"/>
        <c:auto val="1"/>
        <c:lblAlgn val="ctr"/>
        <c:lblOffset val="100"/>
        <c:tickLblSkip val="1"/>
        <c:tickMarkSkip val="1"/>
        <c:noMultiLvlLbl val="0"/>
      </c:catAx>
      <c:valAx>
        <c:axId val="562547408"/>
        <c:scaling>
          <c:orientation val="minMax"/>
        </c:scaling>
        <c:delete val="0"/>
        <c:axPos val="l"/>
        <c:majorGridlines>
          <c:spPr>
            <a:ln w="3175">
              <a:solidFill>
                <a:srgbClr val="000000"/>
              </a:solidFill>
              <a:prstDash val="solid"/>
            </a:ln>
          </c:spPr>
        </c:majorGridlines>
        <c:title>
          <c:tx>
            <c:strRef>
              <c:f>'Uncertainty Analysis'!$A$71</c:f>
              <c:strCache>
                <c:ptCount val="1"/>
                <c:pt idx="0">
                  <c:v>Values in </c:v>
                </c:pt>
              </c:strCache>
            </c:strRef>
          </c:tx>
          <c:layout>
            <c:manualLayout>
              <c:xMode val="edge"/>
              <c:yMode val="edge"/>
              <c:x val="2.5162292215888067E-2"/>
              <c:y val="0.28097778794822476"/>
            </c:manualLayout>
          </c:layout>
          <c:overlay val="0"/>
          <c:spPr>
            <a:noFill/>
            <a:ln w="25400">
              <a:noFill/>
            </a:ln>
          </c:spPr>
          <c:txPr>
            <a:bodyPr/>
            <a:lstStyle/>
            <a:p>
              <a:pPr>
                <a:defRPr sz="1200" b="0" i="0" u="none" strike="noStrike" baseline="0">
                  <a:solidFill>
                    <a:srgbClr val="000000"/>
                  </a:solidFill>
                  <a:latin typeface="Trebuchet MS"/>
                  <a:ea typeface="Trebuchet MS"/>
                  <a:cs typeface="Trebuchet MS"/>
                </a:defRPr>
              </a:pPr>
              <a:endParaRPr lang="en-US"/>
            </a:p>
          </c:tx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ahoma"/>
                <a:ea typeface="Tahoma"/>
                <a:cs typeface="Tahoma"/>
              </a:defRPr>
            </a:pPr>
            <a:endParaRPr lang="en-US"/>
          </a:p>
        </c:txPr>
        <c:crossAx val="5625485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0000000000003" r="0.750000000000003"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228600</xdr:rowOff>
    </xdr:from>
    <xdr:to>
      <xdr:col>0</xdr:col>
      <xdr:colOff>1339820</xdr:colOff>
      <xdr:row>0</xdr:row>
      <xdr:rowOff>845820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28600"/>
          <a:ext cx="1339819" cy="617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8</xdr:col>
          <xdr:colOff>0</xdr:colOff>
          <xdr:row>37</xdr:row>
          <xdr:rowOff>142875</xdr:rowOff>
        </xdr:to>
        <xdr:sp macro="" textlink="">
          <xdr:nvSpPr>
            <xdr:cNvPr id="8197" name="Object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71</xdr:row>
      <xdr:rowOff>8625</xdr:rowOff>
    </xdr:from>
    <xdr:to>
      <xdr:col>12</xdr:col>
      <xdr:colOff>2731</xdr:colOff>
      <xdr:row>90</xdr:row>
      <xdr:rowOff>28575</xdr:rowOff>
    </xdr:to>
    <xdr:graphicFrame macro="">
      <xdr:nvGraphicFramePr>
        <xdr:cNvPr id="1131" name="Chart 3">
          <a:extLst>
            <a:ext uri="{FF2B5EF4-FFF2-40B4-BE49-F238E27FC236}">
              <a16:creationId xmlns:a16="http://schemas.microsoft.com/office/drawing/2014/main" id="{00000000-0008-0000-0400-00006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71</xdr:row>
      <xdr:rowOff>5463</xdr:rowOff>
    </xdr:from>
    <xdr:to>
      <xdr:col>11</xdr:col>
      <xdr:colOff>759124</xdr:colOff>
      <xdr:row>87</xdr:row>
      <xdr:rowOff>106680</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4514850</xdr:colOff>
          <xdr:row>21</xdr:row>
          <xdr:rowOff>19050</xdr:rowOff>
        </xdr:from>
        <xdr:to>
          <xdr:col>2</xdr:col>
          <xdr:colOff>0</xdr:colOff>
          <xdr:row>23</xdr:row>
          <xdr:rowOff>171450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4514850</xdr:colOff>
          <xdr:row>29</xdr:row>
          <xdr:rowOff>19050</xdr:rowOff>
        </xdr:from>
        <xdr:to>
          <xdr:col>2</xdr:col>
          <xdr:colOff>0</xdr:colOff>
          <xdr:row>31</xdr:row>
          <xdr:rowOff>171450</xdr:rowOff>
        </xdr:to>
        <xdr:sp macro="" textlink="">
          <xdr:nvSpPr>
            <xdr:cNvPr id="7184" name="Object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0</xdr:colOff>
      <xdr:row>7</xdr:row>
      <xdr:rowOff>15240</xdr:rowOff>
    </xdr:from>
    <xdr:ext cx="2512162" cy="381708"/>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500-00000E000000}"/>
                </a:ext>
              </a:extLst>
            </xdr:cNvPr>
            <xdr:cNvSpPr txBox="1"/>
          </xdr:nvSpPr>
          <xdr:spPr>
            <a:xfrm>
              <a:off x="0" y="1623060"/>
              <a:ext cx="2512162"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200" i="1">
                            <a:latin typeface="Cambria Math" panose="02040503050406030204" pitchFamily="18" charset="0"/>
                          </a:rPr>
                        </m:ctrlPr>
                      </m:sSubPr>
                      <m:e>
                        <m:r>
                          <a:rPr lang="en-US" sz="1200" b="0" i="1">
                            <a:latin typeface="Cambria Math" panose="02040503050406030204" pitchFamily="18" charset="0"/>
                          </a:rPr>
                          <m:t>𝑉</m:t>
                        </m:r>
                      </m:e>
                      <m:sub>
                        <m:r>
                          <a:rPr lang="en-US" sz="1200" b="0" i="1">
                            <a:latin typeface="Cambria Math" panose="02040503050406030204" pitchFamily="18" charset="0"/>
                          </a:rPr>
                          <m:t>𝑆𝑛</m:t>
                        </m:r>
                      </m:sub>
                    </m:sSub>
                    <m:r>
                      <a:rPr lang="en-US" sz="1200" b="0" i="1">
                        <a:latin typeface="Cambria Math" panose="02040503050406030204" pitchFamily="18" charset="0"/>
                      </a:rPr>
                      <m:t>=</m:t>
                    </m:r>
                    <m:f>
                      <m:fPr>
                        <m:ctrlPr>
                          <a:rPr lang="en-US" sz="1200" b="0" i="1">
                            <a:latin typeface="Cambria Math" panose="02040503050406030204" pitchFamily="18" charset="0"/>
                          </a:rPr>
                        </m:ctrlPr>
                      </m:fPr>
                      <m:num>
                        <m:r>
                          <a:rPr lang="en-US" sz="1200" b="0" i="1">
                            <a:latin typeface="Cambria Math" panose="02040503050406030204" pitchFamily="18" charset="0"/>
                          </a:rPr>
                          <m:t>𝑇𝑜𝑡𝑎𝑙</m:t>
                        </m:r>
                        <m:r>
                          <a:rPr lang="en-US" sz="1200" b="0" i="1">
                            <a:latin typeface="Cambria Math" panose="02040503050406030204" pitchFamily="18" charset="0"/>
                          </a:rPr>
                          <m:t> </m:t>
                        </m:r>
                        <m:r>
                          <a:rPr lang="en-US" sz="1200" b="0" i="1">
                            <a:latin typeface="Cambria Math" panose="02040503050406030204" pitchFamily="18" charset="0"/>
                          </a:rPr>
                          <m:t>𝑛𝑒𝑐𝑘</m:t>
                        </m:r>
                        <m:r>
                          <a:rPr lang="en-US" sz="1200" b="0" i="1">
                            <a:latin typeface="Cambria Math" panose="02040503050406030204" pitchFamily="18" charset="0"/>
                          </a:rPr>
                          <m:t> </m:t>
                        </m:r>
                        <m:r>
                          <a:rPr lang="en-US" sz="1200" b="0" i="1">
                            <a:latin typeface="Cambria Math" panose="02040503050406030204" pitchFamily="18" charset="0"/>
                          </a:rPr>
                          <m:t>𝑠𝑐𝑎𝑙𝑒</m:t>
                        </m:r>
                        <m:r>
                          <a:rPr lang="en-US" sz="1200" b="0" i="1">
                            <a:latin typeface="Cambria Math" panose="02040503050406030204" pitchFamily="18" charset="0"/>
                          </a:rPr>
                          <m:t> </m:t>
                        </m:r>
                        <m:r>
                          <a:rPr lang="en-US" sz="1200" b="0" i="1">
                            <a:latin typeface="Cambria Math" panose="02040503050406030204" pitchFamily="18" charset="0"/>
                          </a:rPr>
                          <m:t>𝑝𝑙𝑎𝑡𝑒</m:t>
                        </m:r>
                        <m:r>
                          <a:rPr lang="en-US" sz="1200" b="0" i="1">
                            <a:latin typeface="Cambria Math" panose="02040503050406030204" pitchFamily="18" charset="0"/>
                          </a:rPr>
                          <m:t> </m:t>
                        </m:r>
                        <m:r>
                          <a:rPr lang="en-US" sz="1200" b="0" i="1">
                            <a:latin typeface="Cambria Math" panose="02040503050406030204" pitchFamily="18" charset="0"/>
                          </a:rPr>
                          <m:t>𝑣𝑜𝑙𝑢𝑚𝑒</m:t>
                        </m:r>
                      </m:num>
                      <m:den>
                        <m:r>
                          <a:rPr lang="en-US" sz="1200" b="0" i="1">
                            <a:latin typeface="Cambria Math" panose="02040503050406030204" pitchFamily="18" charset="0"/>
                          </a:rPr>
                          <m:t># </m:t>
                        </m:r>
                        <m:r>
                          <a:rPr lang="en-US" sz="1200" b="0" i="1">
                            <a:latin typeface="Cambria Math" panose="02040503050406030204" pitchFamily="18" charset="0"/>
                          </a:rPr>
                          <m:t>𝑐𝑎𝑙𝑖𝑏𝑟𝑎𝑡𝑖𝑜𝑛</m:t>
                        </m:r>
                        <m:r>
                          <a:rPr lang="en-US" sz="1200" b="0" i="1">
                            <a:latin typeface="Cambria Math" panose="02040503050406030204" pitchFamily="18" charset="0"/>
                          </a:rPr>
                          <m:t> </m:t>
                        </m:r>
                        <m:r>
                          <a:rPr lang="en-US" sz="1200" b="0" i="1">
                            <a:latin typeface="Cambria Math" panose="02040503050406030204" pitchFamily="18" charset="0"/>
                          </a:rPr>
                          <m:t>𝑝𝑜𝑖𝑛𝑡𝑠</m:t>
                        </m:r>
                      </m:den>
                    </m:f>
                  </m:oMath>
                </m:oMathPara>
              </a14:m>
              <a:endParaRPr lang="en-US" sz="1100"/>
            </a:p>
          </xdr:txBody>
        </xdr:sp>
      </mc:Choice>
      <mc:Fallback xmlns="">
        <xdr:sp macro="" textlink="">
          <xdr:nvSpPr>
            <xdr:cNvPr id="14" name="TextBox 13"/>
            <xdr:cNvSpPr txBox="1"/>
          </xdr:nvSpPr>
          <xdr:spPr>
            <a:xfrm>
              <a:off x="0" y="1623060"/>
              <a:ext cx="2512162"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𝑉_𝑆𝑛=(𝑇𝑜𝑡𝑎𝑙 𝑛𝑒𝑐𝑘 𝑠𝑐𝑎𝑙𝑒 𝑝𝑙𝑎𝑡𝑒 𝑣𝑜𝑙𝑢𝑚𝑒)/(# 𝑐𝑎𝑙𝑖𝑏𝑟𝑎𝑡𝑖𝑜𝑛 𝑝𝑜𝑖𝑛𝑡𝑠)</a:t>
              </a:r>
              <a:endParaRPr lang="en-US" sz="1100"/>
            </a:p>
          </xdr:txBody>
        </xdr:sp>
      </mc:Fallback>
    </mc:AlternateContent>
    <xdr:clientData/>
  </xdr:oneCellAnchor>
  <xdr:oneCellAnchor>
    <xdr:from>
      <xdr:col>0</xdr:col>
      <xdr:colOff>0</xdr:colOff>
      <xdr:row>10</xdr:row>
      <xdr:rowOff>0</xdr:rowOff>
    </xdr:from>
    <xdr:ext cx="2967479" cy="349391"/>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0" y="2659380"/>
              <a:ext cx="2967479" cy="349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200" i="1">
                            <a:latin typeface="Cambria Math" panose="02040503050406030204" pitchFamily="18" charset="0"/>
                          </a:rPr>
                        </m:ctrlPr>
                      </m:sSubPr>
                      <m:e>
                        <m:r>
                          <a:rPr lang="en-US" sz="1200" b="0" i="1">
                            <a:latin typeface="Cambria Math" panose="02040503050406030204" pitchFamily="18" charset="0"/>
                          </a:rPr>
                          <m:t>𝑠𝑟</m:t>
                        </m:r>
                      </m:e>
                      <m:sub>
                        <m:r>
                          <a:rPr lang="en-US" sz="1200" b="0" i="1">
                            <a:latin typeface="Cambria Math" panose="02040503050406030204" pitchFamily="18" charset="0"/>
                          </a:rPr>
                          <m:t>𝑖</m:t>
                        </m:r>
                      </m:sub>
                    </m:sSub>
                    <m:r>
                      <a:rPr lang="en-US" sz="1200" b="0" i="1">
                        <a:latin typeface="Cambria Math" panose="02040503050406030204" pitchFamily="18" charset="0"/>
                      </a:rPr>
                      <m:t>=</m:t>
                    </m:r>
                    <m:sSub>
                      <m:sSubPr>
                        <m:ctrlPr>
                          <a:rPr lang="en-US" sz="1200" b="0" i="1">
                            <a:latin typeface="Cambria Math" panose="02040503050406030204" pitchFamily="18" charset="0"/>
                          </a:rPr>
                        </m:ctrlPr>
                      </m:sSubPr>
                      <m:e>
                        <m:r>
                          <a:rPr lang="en-US" sz="1200" b="0" i="1">
                            <a:latin typeface="Cambria Math" panose="02040503050406030204" pitchFamily="18" charset="0"/>
                          </a:rPr>
                          <m:t>𝑁𝑜𝑚</m:t>
                        </m:r>
                      </m:e>
                      <m:sub>
                        <m:r>
                          <a:rPr lang="en-US" sz="1200" b="0" i="1">
                            <a:latin typeface="Cambria Math" panose="02040503050406030204" pitchFamily="18" charset="0"/>
                          </a:rPr>
                          <m:t>𝑝𝑟𝑜𝑣𝑒𝑟</m:t>
                        </m:r>
                      </m:sub>
                    </m:sSub>
                    <m:r>
                      <a:rPr lang="en-US" sz="1200" b="0" i="1">
                        <a:latin typeface="Cambria Math" panose="02040503050406030204" pitchFamily="18" charset="0"/>
                      </a:rPr>
                      <m:t>−</m:t>
                    </m:r>
                    <m:f>
                      <m:fPr>
                        <m:ctrlPr>
                          <a:rPr lang="en-US" sz="1200" b="0" i="1">
                            <a:latin typeface="Cambria Math" panose="02040503050406030204" pitchFamily="18" charset="0"/>
                          </a:rPr>
                        </m:ctrlPr>
                      </m:fPr>
                      <m:num>
                        <m:r>
                          <a:rPr lang="en-US" sz="1200" b="0" i="1">
                            <a:latin typeface="Cambria Math" panose="02040503050406030204" pitchFamily="18" charset="0"/>
                          </a:rPr>
                          <m:t># </m:t>
                        </m:r>
                        <m:r>
                          <a:rPr lang="en-US" sz="1200" b="0" i="1">
                            <a:latin typeface="Cambria Math" panose="02040503050406030204" pitchFamily="18" charset="0"/>
                          </a:rPr>
                          <m:t>𝑐𝑎𝑙𝑖𝑏𝑟𝑎𝑡𝑖𝑜𝑛</m:t>
                        </m:r>
                        <m:r>
                          <a:rPr lang="en-US" sz="1200" b="0" i="1">
                            <a:latin typeface="Cambria Math" panose="02040503050406030204" pitchFamily="18" charset="0"/>
                          </a:rPr>
                          <m:t> </m:t>
                        </m:r>
                        <m:r>
                          <a:rPr lang="en-US" sz="1200" b="0" i="1">
                            <a:latin typeface="Cambria Math" panose="02040503050406030204" pitchFamily="18" charset="0"/>
                          </a:rPr>
                          <m:t>𝑝𝑜𝑖𝑛𝑡𝑠</m:t>
                        </m:r>
                      </m:num>
                      <m:den>
                        <m:r>
                          <a:rPr lang="en-US" sz="1200" b="0" i="1">
                            <a:latin typeface="Cambria Math" panose="02040503050406030204" pitchFamily="18" charset="0"/>
                          </a:rPr>
                          <m:t>2</m:t>
                        </m:r>
                      </m:den>
                    </m:f>
                    <m:sSub>
                      <m:sSubPr>
                        <m:ctrlPr>
                          <a:rPr lang="en-US" sz="1200" b="0" i="1">
                            <a:latin typeface="Cambria Math" panose="02040503050406030204" pitchFamily="18" charset="0"/>
                          </a:rPr>
                        </m:ctrlPr>
                      </m:sSubPr>
                      <m:e>
                        <m:r>
                          <a:rPr lang="en-US" sz="1200" b="0" i="1">
                            <a:latin typeface="Cambria Math" panose="02040503050406030204" pitchFamily="18" charset="0"/>
                          </a:rPr>
                          <m:t>𝑉</m:t>
                        </m:r>
                      </m:e>
                      <m:sub>
                        <m:r>
                          <a:rPr lang="en-US" sz="1200" b="0" i="1">
                            <a:latin typeface="Cambria Math" panose="02040503050406030204" pitchFamily="18" charset="0"/>
                          </a:rPr>
                          <m:t>𝑆𝑛</m:t>
                        </m:r>
                      </m:sub>
                    </m:sSub>
                  </m:oMath>
                </m:oMathPara>
              </a14:m>
              <a:endParaRPr lang="en-US" sz="1100"/>
            </a:p>
          </xdr:txBody>
        </xdr:sp>
      </mc:Choice>
      <mc:Fallback xmlns="">
        <xdr:sp macro="" textlink="">
          <xdr:nvSpPr>
            <xdr:cNvPr id="17" name="TextBox 16"/>
            <xdr:cNvSpPr txBox="1"/>
          </xdr:nvSpPr>
          <xdr:spPr>
            <a:xfrm>
              <a:off x="0" y="2659380"/>
              <a:ext cx="2967479" cy="3493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i="0">
                  <a:latin typeface="Cambria Math" panose="02040503050406030204" pitchFamily="18" charset="0"/>
                </a:rPr>
                <a:t>〖</a:t>
              </a:r>
              <a:r>
                <a:rPr lang="en-US" sz="1200" b="0" i="0">
                  <a:latin typeface="Cambria Math" panose="02040503050406030204" pitchFamily="18" charset="0"/>
                </a:rPr>
                <a:t>𝑠𝑟〗_𝑖=〖𝑁𝑜𝑚〗_𝑝𝑟𝑜𝑣𝑒𝑟−(# 𝑐𝑎𝑙𝑖𝑏𝑟𝑎𝑡𝑖𝑜𝑛 𝑝𝑜𝑖𝑛𝑡𝑠)/2 𝑉_𝑆𝑛</a:t>
              </a:r>
              <a:endParaRPr lang="en-US" sz="1100"/>
            </a:p>
          </xdr:txBody>
        </xdr:sp>
      </mc:Fallback>
    </mc:AlternateContent>
    <xdr:clientData/>
  </xdr:oneCellAnchor>
  <xdr:oneCellAnchor>
    <xdr:from>
      <xdr:col>0</xdr:col>
      <xdr:colOff>0</xdr:colOff>
      <xdr:row>18</xdr:row>
      <xdr:rowOff>0</xdr:rowOff>
    </xdr:from>
    <xdr:ext cx="1602233" cy="187872"/>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00000000-0008-0000-0500-000012000000}"/>
                </a:ext>
              </a:extLst>
            </xdr:cNvPr>
            <xdr:cNvSpPr txBox="1"/>
          </xdr:nvSpPr>
          <xdr:spPr>
            <a:xfrm>
              <a:off x="0" y="4724400"/>
              <a:ext cx="1602233"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i="1">
                        <a:latin typeface="Cambria Math" panose="02040503050406030204" pitchFamily="18" charset="0"/>
                        <a:ea typeface="Cambria Math" panose="02040503050406030204" pitchFamily="18" charset="0"/>
                      </a:rPr>
                      <m:t>∆</m:t>
                    </m:r>
                    <m:sSub>
                      <m:sSubPr>
                        <m:ctrlPr>
                          <a:rPr lang="en-US" sz="120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𝑠𝑟</m:t>
                        </m:r>
                      </m:e>
                      <m:sub>
                        <m:r>
                          <a:rPr lang="en-US" sz="1200" b="0" i="1">
                            <a:latin typeface="Cambria Math" panose="02040503050406030204" pitchFamily="18" charset="0"/>
                            <a:ea typeface="Cambria Math" panose="02040503050406030204" pitchFamily="18" charset="0"/>
                          </a:rPr>
                          <m:t>𝑥</m:t>
                        </m:r>
                      </m:sub>
                    </m:sSub>
                    <m:r>
                      <a:rPr lang="en-US" sz="1200" b="0" i="1">
                        <a:latin typeface="Cambria Math" panose="02040503050406030204" pitchFamily="18" charset="0"/>
                        <a:ea typeface="Cambria Math" panose="02040503050406030204" pitchFamily="18" charset="0"/>
                      </a:rPr>
                      <m:t>=</m:t>
                    </m:r>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𝑠𝑟</m:t>
                        </m:r>
                      </m:e>
                      <m:sub>
                        <m:r>
                          <a:rPr lang="en-US" sz="1200" b="0" i="1">
                            <a:latin typeface="Cambria Math" panose="02040503050406030204" pitchFamily="18" charset="0"/>
                            <a:ea typeface="Cambria Math" panose="02040503050406030204" pitchFamily="18" charset="0"/>
                          </a:rPr>
                          <m:t>𝑥</m:t>
                        </m:r>
                      </m:sub>
                    </m:sSub>
                    <m:r>
                      <a:rPr lang="en-US" sz="1200" b="0" i="1">
                        <a:latin typeface="Cambria Math" panose="02040503050406030204" pitchFamily="18" charset="0"/>
                        <a:ea typeface="Cambria Math" panose="02040503050406030204" pitchFamily="18" charset="0"/>
                      </a:rPr>
                      <m:t>−</m:t>
                    </m:r>
                    <m:d>
                      <m:dPr>
                        <m:ctrlPr>
                          <a:rPr lang="en-US" sz="1200" b="0" i="1">
                            <a:latin typeface="Cambria Math" panose="02040503050406030204" pitchFamily="18" charset="0"/>
                            <a:ea typeface="Cambria Math" panose="02040503050406030204" pitchFamily="18" charset="0"/>
                          </a:rPr>
                        </m:ctrlPr>
                      </m:dPr>
                      <m:e>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𝑠𝑟</m:t>
                            </m:r>
                          </m:e>
                          <m:sub>
                            <m:r>
                              <a:rPr lang="en-US" sz="1200" b="0" i="1">
                                <a:latin typeface="Cambria Math" panose="02040503050406030204" pitchFamily="18" charset="0"/>
                                <a:ea typeface="Cambria Math" panose="02040503050406030204" pitchFamily="18" charset="0"/>
                              </a:rPr>
                              <m:t>𝑖</m:t>
                            </m:r>
                          </m:sub>
                        </m:sSub>
                        <m:r>
                          <a:rPr lang="en-US" sz="1200" b="0" i="1">
                            <a:latin typeface="Cambria Math" panose="02040503050406030204" pitchFamily="18" charset="0"/>
                            <a:ea typeface="Cambria Math" panose="02040503050406030204" pitchFamily="18" charset="0"/>
                          </a:rPr>
                          <m:t>+</m:t>
                        </m:r>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𝑉</m:t>
                            </m:r>
                          </m:e>
                          <m:sub>
                            <m:r>
                              <a:rPr lang="en-US" sz="1200" b="0" i="1">
                                <a:latin typeface="Cambria Math" panose="02040503050406030204" pitchFamily="18" charset="0"/>
                                <a:ea typeface="Cambria Math" panose="02040503050406030204" pitchFamily="18" charset="0"/>
                              </a:rPr>
                              <m:t>𝑆𝑛</m:t>
                            </m:r>
                          </m:sub>
                        </m:sSub>
                      </m:e>
                    </m:d>
                  </m:oMath>
                </m:oMathPara>
              </a14:m>
              <a:endParaRPr lang="en-US" sz="1100"/>
            </a:p>
          </xdr:txBody>
        </xdr:sp>
      </mc:Choice>
      <mc:Fallback xmlns="">
        <xdr:sp macro="" textlink="">
          <xdr:nvSpPr>
            <xdr:cNvPr id="18" name="TextBox 17"/>
            <xdr:cNvSpPr txBox="1"/>
          </xdr:nvSpPr>
          <xdr:spPr>
            <a:xfrm>
              <a:off x="0" y="4724400"/>
              <a:ext cx="1602233"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i="0">
                  <a:latin typeface="Cambria Math" panose="02040503050406030204" pitchFamily="18" charset="0"/>
                  <a:ea typeface="Cambria Math" panose="02040503050406030204" pitchFamily="18" charset="0"/>
                </a:rPr>
                <a:t>∆〖</a:t>
              </a:r>
              <a:r>
                <a:rPr lang="en-US" sz="1200" b="0" i="0">
                  <a:latin typeface="Cambria Math" panose="02040503050406030204" pitchFamily="18" charset="0"/>
                  <a:ea typeface="Cambria Math" panose="02040503050406030204" pitchFamily="18" charset="0"/>
                </a:rPr>
                <a:t>𝑠𝑟〗_𝑥=〖𝑠𝑟〗_𝑥−(〖𝑠𝑟〗_𝑖+𝑉_𝑆𝑛 )</a:t>
              </a:r>
              <a:endParaRPr lang="en-US" sz="1100"/>
            </a:p>
          </xdr:txBody>
        </xdr:sp>
      </mc:Fallback>
    </mc:AlternateContent>
    <xdr:clientData/>
  </xdr:oneCellAnchor>
  <xdr:oneCellAnchor>
    <xdr:from>
      <xdr:col>0</xdr:col>
      <xdr:colOff>0</xdr:colOff>
      <xdr:row>26</xdr:row>
      <xdr:rowOff>0</xdr:rowOff>
    </xdr:from>
    <xdr:ext cx="1341586" cy="415050"/>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500-000013000000}"/>
                </a:ext>
              </a:extLst>
            </xdr:cNvPr>
            <xdr:cNvSpPr txBox="1"/>
          </xdr:nvSpPr>
          <xdr:spPr>
            <a:xfrm>
              <a:off x="0" y="6530340"/>
              <a:ext cx="1341586" cy="415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rPr>
                      <m:t>𝑁𝑆𝐶𝐹</m:t>
                    </m:r>
                    <m:r>
                      <a:rPr lang="en-US" sz="1200" b="0" i="1">
                        <a:latin typeface="Cambria Math" panose="02040503050406030204" pitchFamily="18" charset="0"/>
                      </a:rPr>
                      <m:t>=</m:t>
                    </m:r>
                    <m:f>
                      <m:fPr>
                        <m:ctrlPr>
                          <a:rPr lang="en-US" sz="1200" b="0" i="1">
                            <a:latin typeface="Cambria Math" panose="02040503050406030204" pitchFamily="18" charset="0"/>
                          </a:rPr>
                        </m:ctrlPr>
                      </m:fPr>
                      <m:num>
                        <m:sSub>
                          <m:sSubPr>
                            <m:ctrlPr>
                              <a:rPr lang="en-US" sz="1200" b="0" i="1">
                                <a:latin typeface="Cambria Math" panose="02040503050406030204" pitchFamily="18" charset="0"/>
                              </a:rPr>
                            </m:ctrlPr>
                          </m:sSubPr>
                          <m:e>
                            <m:r>
                              <a:rPr lang="en-US" sz="1200" b="0" i="1">
                                <a:latin typeface="Cambria Math" panose="02040503050406030204" pitchFamily="18" charset="0"/>
                              </a:rPr>
                              <m:t>𝑉</m:t>
                            </m:r>
                          </m:e>
                          <m:sub>
                            <m:r>
                              <a:rPr lang="en-US" sz="1200" b="0" i="1">
                                <a:latin typeface="Cambria Math" panose="02040503050406030204" pitchFamily="18" charset="0"/>
                              </a:rPr>
                              <m:t>𝑤</m:t>
                            </m:r>
                          </m:sub>
                        </m:sSub>
                      </m:num>
                      <m:den>
                        <m:d>
                          <m:dPr>
                            <m:ctrlPr>
                              <a:rPr lang="en-US" sz="1200" b="0" i="1">
                                <a:latin typeface="Cambria Math" panose="02040503050406030204" pitchFamily="18" charset="0"/>
                              </a:rPr>
                            </m:ctrlPr>
                          </m:dPr>
                          <m:e>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𝑠𝑟</m:t>
                                </m:r>
                              </m:e>
                              <m:sub>
                                <m:r>
                                  <a:rPr lang="en-US" sz="1100" b="0" i="1">
                                    <a:solidFill>
                                      <a:schemeClr val="tx1"/>
                                    </a:solidFill>
                                    <a:effectLst/>
                                    <a:latin typeface="Cambria Math" panose="02040503050406030204" pitchFamily="18" charset="0"/>
                                    <a:ea typeface="+mn-ea"/>
                                    <a:cs typeface="+mn-cs"/>
                                  </a:rPr>
                                  <m:t>𝑓</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𝑠𝑟</m:t>
                                </m:r>
                              </m:e>
                              <m:sub>
                                <m:r>
                                  <a:rPr lang="en-US" sz="1100" b="0" i="1">
                                    <a:solidFill>
                                      <a:schemeClr val="tx1"/>
                                    </a:solidFill>
                                    <a:effectLst/>
                                    <a:latin typeface="Cambria Math" panose="02040503050406030204" pitchFamily="18" charset="0"/>
                                    <a:ea typeface="+mn-ea"/>
                                    <a:cs typeface="+mn-cs"/>
                                  </a:rPr>
                                  <m:t>𝑖</m:t>
                                </m:r>
                              </m:sub>
                            </m:sSub>
                          </m:e>
                        </m:d>
                      </m:den>
                    </m:f>
                  </m:oMath>
                </m:oMathPara>
              </a14:m>
              <a:endParaRPr lang="en-US" sz="1100"/>
            </a:p>
          </xdr:txBody>
        </xdr:sp>
      </mc:Choice>
      <mc:Fallback xmlns="">
        <xdr:sp macro="" textlink="">
          <xdr:nvSpPr>
            <xdr:cNvPr id="19" name="TextBox 18"/>
            <xdr:cNvSpPr txBox="1"/>
          </xdr:nvSpPr>
          <xdr:spPr>
            <a:xfrm>
              <a:off x="0" y="6530340"/>
              <a:ext cx="1341586" cy="415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𝑁𝑆𝐶𝐹=𝑉_𝑤/((</a:t>
              </a:r>
              <a:r>
                <a:rPr lang="en-US" sz="1100" b="0" i="0">
                  <a:solidFill>
                    <a:schemeClr val="tx1"/>
                  </a:solidFill>
                  <a:effectLst/>
                  <a:latin typeface="Cambria Math" panose="02040503050406030204" pitchFamily="18" charset="0"/>
                  <a:ea typeface="+mn-ea"/>
                  <a:cs typeface="+mn-cs"/>
                </a:rPr>
                <a:t>〖𝑠𝑟〗_𝑓−〖𝑠𝑟〗_𝑖 ) </a:t>
              </a:r>
              <a:r>
                <a:rPr lang="en-US" sz="1200" b="0" i="0">
                  <a:solidFill>
                    <a:schemeClr val="tx1"/>
                  </a:solidFill>
                  <a:effectLst/>
                  <a:latin typeface="Cambria Math" panose="02040503050406030204" pitchFamily="18" charset="0"/>
                  <a:ea typeface="+mn-ea"/>
                  <a:cs typeface="+mn-cs"/>
                </a:rPr>
                <a:t>)</a:t>
              </a:r>
              <a:endParaRPr lang="en-US" sz="1100"/>
            </a:p>
          </xdr:txBody>
        </xdr:sp>
      </mc:Fallback>
    </mc:AlternateContent>
    <xdr:clientData/>
  </xdr:oneCellAnchor>
  <xdr:oneCellAnchor>
    <xdr:from>
      <xdr:col>0</xdr:col>
      <xdr:colOff>0</xdr:colOff>
      <xdr:row>34</xdr:row>
      <xdr:rowOff>0</xdr:rowOff>
    </xdr:from>
    <xdr:ext cx="2824876" cy="375809"/>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500-000014000000}"/>
                </a:ext>
              </a:extLst>
            </xdr:cNvPr>
            <xdr:cNvSpPr txBox="1"/>
          </xdr:nvSpPr>
          <xdr:spPr>
            <a:xfrm>
              <a:off x="0" y="8625840"/>
              <a:ext cx="2824876" cy="375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200" i="1">
                            <a:latin typeface="Cambria Math" panose="02040503050406030204" pitchFamily="18" charset="0"/>
                          </a:rPr>
                        </m:ctrlPr>
                      </m:sSubPr>
                      <m:e>
                        <m:r>
                          <a:rPr lang="en-US" sz="1200" b="0" i="1">
                            <a:latin typeface="Cambria Math" panose="02040503050406030204" pitchFamily="18" charset="0"/>
                          </a:rPr>
                          <m:t>𝑢</m:t>
                        </m:r>
                      </m:e>
                      <m:sub>
                        <m:r>
                          <a:rPr lang="en-US" sz="1200" b="0" i="1">
                            <a:latin typeface="Cambria Math" panose="02040503050406030204" pitchFamily="18" charset="0"/>
                          </a:rPr>
                          <m:t>𝑛</m:t>
                        </m:r>
                      </m:sub>
                    </m:sSub>
                    <m:r>
                      <a:rPr lang="en-US" sz="1200" b="0" i="1">
                        <a:latin typeface="Cambria Math" panose="02040503050406030204" pitchFamily="18" charset="0"/>
                      </a:rPr>
                      <m:t>=</m:t>
                    </m:r>
                    <m:rad>
                      <m:radPr>
                        <m:degHide m:val="on"/>
                        <m:ctrlPr>
                          <a:rPr lang="en-US" sz="1200" b="0" i="1">
                            <a:latin typeface="Cambria Math" panose="02040503050406030204" pitchFamily="18" charset="0"/>
                          </a:rPr>
                        </m:ctrlPr>
                      </m:radPr>
                      <m:deg/>
                      <m:e>
                        <m:sSup>
                          <m:sSupPr>
                            <m:ctrlPr>
                              <a:rPr lang="en-US" sz="1200" b="0" i="1">
                                <a:latin typeface="Cambria Math" panose="02040503050406030204" pitchFamily="18" charset="0"/>
                              </a:rPr>
                            </m:ctrlPr>
                          </m:sSupPr>
                          <m:e>
                            <m:d>
                              <m:dPr>
                                <m:ctrlPr>
                                  <a:rPr lang="en-US" sz="1200" b="0" i="1">
                                    <a:latin typeface="Cambria Math" panose="02040503050406030204" pitchFamily="18" charset="0"/>
                                  </a:rPr>
                                </m:ctrlPr>
                              </m:dPr>
                              <m:e>
                                <m:sSub>
                                  <m:sSubPr>
                                    <m:ctrlPr>
                                      <a:rPr lang="en-US" sz="1200" b="0" i="1">
                                        <a:latin typeface="Cambria Math" panose="02040503050406030204" pitchFamily="18" charset="0"/>
                                      </a:rPr>
                                    </m:ctrlPr>
                                  </m:sSubPr>
                                  <m:e>
                                    <m:r>
                                      <a:rPr lang="en-US" sz="1200" b="0" i="1">
                                        <a:latin typeface="Cambria Math" panose="02040503050406030204" pitchFamily="18" charset="0"/>
                                      </a:rPr>
                                      <m:t>𝑢</m:t>
                                    </m:r>
                                  </m:e>
                                  <m:sub>
                                    <m:r>
                                      <a:rPr lang="en-US" sz="1200" b="0" i="1">
                                        <a:latin typeface="Cambria Math" panose="02040503050406030204" pitchFamily="18" charset="0"/>
                                      </a:rPr>
                                      <m:t>𝑆</m:t>
                                    </m:r>
                                  </m:sub>
                                </m:sSub>
                                <m:r>
                                  <a:rPr lang="en-US" sz="1200" b="0" i="1">
                                    <a:latin typeface="Cambria Math" panose="02040503050406030204" pitchFamily="18" charset="0"/>
                                    <a:ea typeface="Cambria Math" panose="02040503050406030204" pitchFamily="18" charset="0"/>
                                  </a:rPr>
                                  <m:t>×4</m:t>
                                </m:r>
                              </m:e>
                            </m:d>
                          </m:e>
                          <m:sup>
                            <m:r>
                              <a:rPr lang="en-US" sz="1200" b="0" i="1">
                                <a:latin typeface="Cambria Math" panose="02040503050406030204" pitchFamily="18" charset="0"/>
                              </a:rPr>
                              <m:t>2</m:t>
                            </m:r>
                          </m:sup>
                        </m:sSup>
                        <m:r>
                          <a:rPr lang="en-US" sz="1200" b="0" i="1">
                            <a:latin typeface="Cambria Math" panose="02040503050406030204" pitchFamily="18" charset="0"/>
                          </a:rPr>
                          <m:t>+4</m:t>
                        </m:r>
                        <m:r>
                          <a:rPr lang="en-US" sz="1200" b="0" i="1">
                            <a:latin typeface="Cambria Math" panose="02040503050406030204" pitchFamily="18" charset="0"/>
                            <a:ea typeface="Cambria Math" panose="02040503050406030204" pitchFamily="18" charset="0"/>
                          </a:rPr>
                          <m:t>×</m:t>
                        </m:r>
                        <m:d>
                          <m:dPr>
                            <m:ctrlPr>
                              <a:rPr lang="en-US" sz="1200" b="0" i="1">
                                <a:latin typeface="Cambria Math" panose="02040503050406030204" pitchFamily="18" charset="0"/>
                                <a:ea typeface="Cambria Math" panose="02040503050406030204" pitchFamily="18" charset="0"/>
                              </a:rPr>
                            </m:ctrlPr>
                          </m:dPr>
                          <m:e>
                            <m:sSubSup>
                              <m:sSubSupPr>
                                <m:ctrlPr>
                                  <a:rPr lang="en-US" sz="1200" b="0" i="1">
                                    <a:latin typeface="Cambria Math" panose="02040503050406030204" pitchFamily="18" charset="0"/>
                                    <a:ea typeface="Cambria Math" panose="02040503050406030204" pitchFamily="18" charset="0"/>
                                  </a:rPr>
                                </m:ctrlPr>
                              </m:sSubSupPr>
                              <m:e>
                                <m:r>
                                  <a:rPr lang="en-US" sz="1200" b="0" i="1">
                                    <a:latin typeface="Cambria Math" panose="02040503050406030204" pitchFamily="18" charset="0"/>
                                    <a:ea typeface="Cambria Math" panose="02040503050406030204" pitchFamily="18" charset="0"/>
                                  </a:rPr>
                                  <m:t>𝑢</m:t>
                                </m:r>
                              </m:e>
                              <m:sub>
                                <m:r>
                                  <a:rPr lang="en-US" sz="1200" b="0" i="1">
                                    <a:latin typeface="Cambria Math" panose="02040503050406030204" pitchFamily="18" charset="0"/>
                                    <a:ea typeface="Cambria Math" panose="02040503050406030204" pitchFamily="18" charset="0"/>
                                  </a:rPr>
                                  <m:t>𝑚𝑆</m:t>
                                </m:r>
                              </m:sub>
                              <m:sup>
                                <m:r>
                                  <a:rPr lang="en-US" sz="1200" b="0" i="1">
                                    <a:latin typeface="Cambria Math" panose="02040503050406030204" pitchFamily="18" charset="0"/>
                                    <a:ea typeface="Cambria Math" panose="02040503050406030204" pitchFamily="18" charset="0"/>
                                  </a:rPr>
                                  <m:t>2</m:t>
                                </m:r>
                              </m:sup>
                            </m:sSubSup>
                          </m:e>
                        </m:d>
                        <m:r>
                          <a:rPr lang="en-US" sz="1200" b="0" i="1">
                            <a:latin typeface="Cambria Math" panose="02040503050406030204" pitchFamily="18" charset="0"/>
                            <a:ea typeface="Cambria Math" panose="02040503050406030204" pitchFamily="18" charset="0"/>
                          </a:rPr>
                          <m:t>+4×</m:t>
                        </m:r>
                        <m:d>
                          <m:dPr>
                            <m:ctrlPr>
                              <a:rPr lang="en-US" sz="1200" b="0" i="1">
                                <a:latin typeface="Cambria Math" panose="02040503050406030204" pitchFamily="18" charset="0"/>
                                <a:ea typeface="Cambria Math" panose="02040503050406030204" pitchFamily="18" charset="0"/>
                              </a:rPr>
                            </m:ctrlPr>
                          </m:dPr>
                          <m:e>
                            <m:sSubSup>
                              <m:sSubSupPr>
                                <m:ctrlPr>
                                  <a:rPr lang="en-US" sz="1200" b="0" i="1">
                                    <a:latin typeface="Cambria Math" panose="02040503050406030204" pitchFamily="18" charset="0"/>
                                    <a:ea typeface="Cambria Math" panose="02040503050406030204" pitchFamily="18" charset="0"/>
                                  </a:rPr>
                                </m:ctrlPr>
                              </m:sSubSupPr>
                              <m:e>
                                <m:r>
                                  <a:rPr lang="en-US" sz="1200" b="0" i="1">
                                    <a:latin typeface="Cambria Math" panose="02040503050406030204" pitchFamily="18" charset="0"/>
                                    <a:ea typeface="Cambria Math" panose="02040503050406030204" pitchFamily="18" charset="0"/>
                                  </a:rPr>
                                  <m:t>𝑢</m:t>
                                </m:r>
                              </m:e>
                              <m:sub>
                                <m:r>
                                  <a:rPr lang="en-US" sz="1200" b="0" i="1">
                                    <a:latin typeface="Cambria Math" panose="02040503050406030204" pitchFamily="18" charset="0"/>
                                    <a:ea typeface="Cambria Math" panose="02040503050406030204" pitchFamily="18" charset="0"/>
                                  </a:rPr>
                                  <m:t>𝑚𝑋</m:t>
                                </m:r>
                              </m:sub>
                              <m:sup>
                                <m:r>
                                  <a:rPr lang="en-US" sz="1200" b="0" i="1">
                                    <a:latin typeface="Cambria Math" panose="02040503050406030204" pitchFamily="18" charset="0"/>
                                    <a:ea typeface="Cambria Math" panose="02040503050406030204" pitchFamily="18" charset="0"/>
                                  </a:rPr>
                                  <m:t>2</m:t>
                                </m:r>
                              </m:sup>
                            </m:sSubSup>
                          </m:e>
                        </m:d>
                      </m:e>
                    </m:rad>
                  </m:oMath>
                </m:oMathPara>
              </a14:m>
              <a:endParaRPr lang="en-US" sz="1100"/>
            </a:p>
          </xdr:txBody>
        </xdr:sp>
      </mc:Choice>
      <mc:Fallback xmlns="">
        <xdr:sp macro="" textlink="">
          <xdr:nvSpPr>
            <xdr:cNvPr id="20" name="TextBox 19"/>
            <xdr:cNvSpPr txBox="1"/>
          </xdr:nvSpPr>
          <xdr:spPr>
            <a:xfrm>
              <a:off x="0" y="8625840"/>
              <a:ext cx="2824876" cy="375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𝑢_𝑛=√((𝑢_𝑆</a:t>
              </a:r>
              <a:r>
                <a:rPr lang="en-US" sz="1200" b="0" i="0">
                  <a:latin typeface="Cambria Math" panose="02040503050406030204" pitchFamily="18" charset="0"/>
                  <a:ea typeface="Cambria Math" panose="02040503050406030204" pitchFamily="18" charset="0"/>
                </a:rPr>
                <a:t>×4)^</a:t>
              </a:r>
              <a:r>
                <a:rPr lang="en-US" sz="1200" b="0" i="0">
                  <a:latin typeface="Cambria Math" panose="02040503050406030204" pitchFamily="18" charset="0"/>
                </a:rPr>
                <a:t>2+4</a:t>
              </a:r>
              <a:r>
                <a:rPr lang="en-US" sz="1200" b="0" i="0">
                  <a:latin typeface="Cambria Math" panose="02040503050406030204" pitchFamily="18" charset="0"/>
                  <a:ea typeface="Cambria Math" panose="02040503050406030204" pitchFamily="18" charset="0"/>
                </a:rPr>
                <a:t>×(𝑢_𝑚𝑆^2 )+4×(𝑢_𝑚𝑋^2 ) )</a:t>
              </a:r>
              <a:endParaRPr lang="en-US" sz="1100"/>
            </a:p>
          </xdr:txBody>
        </xdr:sp>
      </mc:Fallback>
    </mc:AlternateContent>
    <xdr:clientData/>
  </xdr:oneCellAnchor>
  <xdr:oneCellAnchor>
    <xdr:from>
      <xdr:col>0</xdr:col>
      <xdr:colOff>0</xdr:colOff>
      <xdr:row>36</xdr:row>
      <xdr:rowOff>0</xdr:rowOff>
    </xdr:from>
    <xdr:ext cx="2824876" cy="375809"/>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500-000016000000}"/>
                </a:ext>
              </a:extLst>
            </xdr:cNvPr>
            <xdr:cNvSpPr txBox="1"/>
          </xdr:nvSpPr>
          <xdr:spPr>
            <a:xfrm>
              <a:off x="0" y="9540240"/>
              <a:ext cx="2824876" cy="375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200" i="1">
                            <a:latin typeface="Cambria Math" panose="02040503050406030204" pitchFamily="18" charset="0"/>
                          </a:rPr>
                        </m:ctrlPr>
                      </m:sSubPr>
                      <m:e>
                        <m:r>
                          <a:rPr lang="en-US" sz="1200" b="0" i="1">
                            <a:latin typeface="Cambria Math" panose="02040503050406030204" pitchFamily="18" charset="0"/>
                          </a:rPr>
                          <m:t>𝑢</m:t>
                        </m:r>
                      </m:e>
                      <m:sub>
                        <m:r>
                          <a:rPr lang="en-US" sz="1200" b="0" i="1">
                            <a:latin typeface="Cambria Math" panose="02040503050406030204" pitchFamily="18" charset="0"/>
                          </a:rPr>
                          <m:t>𝑛</m:t>
                        </m:r>
                      </m:sub>
                    </m:sSub>
                    <m:r>
                      <a:rPr lang="en-US" sz="1200" b="0" i="1">
                        <a:latin typeface="Cambria Math" panose="02040503050406030204" pitchFamily="18" charset="0"/>
                      </a:rPr>
                      <m:t>=</m:t>
                    </m:r>
                    <m:rad>
                      <m:radPr>
                        <m:degHide m:val="on"/>
                        <m:ctrlPr>
                          <a:rPr lang="en-US" sz="1200" b="0" i="1">
                            <a:latin typeface="Cambria Math" panose="02040503050406030204" pitchFamily="18" charset="0"/>
                          </a:rPr>
                        </m:ctrlPr>
                      </m:radPr>
                      <m:deg/>
                      <m:e>
                        <m:sSup>
                          <m:sSupPr>
                            <m:ctrlPr>
                              <a:rPr lang="en-US" sz="1200" b="0" i="1">
                                <a:latin typeface="Cambria Math" panose="02040503050406030204" pitchFamily="18" charset="0"/>
                              </a:rPr>
                            </m:ctrlPr>
                          </m:sSupPr>
                          <m:e>
                            <m:d>
                              <m:dPr>
                                <m:ctrlPr>
                                  <a:rPr lang="en-US" sz="1200" b="0" i="1">
                                    <a:latin typeface="Cambria Math" panose="02040503050406030204" pitchFamily="18" charset="0"/>
                                  </a:rPr>
                                </m:ctrlPr>
                              </m:dPr>
                              <m:e>
                                <m:sSub>
                                  <m:sSubPr>
                                    <m:ctrlPr>
                                      <a:rPr lang="en-US" sz="1200" b="0" i="1">
                                        <a:latin typeface="Cambria Math" panose="02040503050406030204" pitchFamily="18" charset="0"/>
                                      </a:rPr>
                                    </m:ctrlPr>
                                  </m:sSubPr>
                                  <m:e>
                                    <m:r>
                                      <a:rPr lang="en-US" sz="1200" b="0" i="1">
                                        <a:latin typeface="Cambria Math" panose="02040503050406030204" pitchFamily="18" charset="0"/>
                                      </a:rPr>
                                      <m:t>𝑢</m:t>
                                    </m:r>
                                  </m:e>
                                  <m:sub>
                                    <m:r>
                                      <a:rPr lang="en-US" sz="1200" b="0" i="1">
                                        <a:latin typeface="Cambria Math" panose="02040503050406030204" pitchFamily="18" charset="0"/>
                                      </a:rPr>
                                      <m:t>𝑆</m:t>
                                    </m:r>
                                  </m:sub>
                                </m:sSub>
                                <m:r>
                                  <a:rPr lang="en-US" sz="1200" b="0" i="1">
                                    <a:latin typeface="Cambria Math" panose="02040503050406030204" pitchFamily="18" charset="0"/>
                                    <a:ea typeface="Cambria Math" panose="02040503050406030204" pitchFamily="18" charset="0"/>
                                  </a:rPr>
                                  <m:t>×8</m:t>
                                </m:r>
                              </m:e>
                            </m:d>
                          </m:e>
                          <m:sup>
                            <m:r>
                              <a:rPr lang="en-US" sz="1200" b="0" i="1">
                                <a:latin typeface="Cambria Math" panose="02040503050406030204" pitchFamily="18" charset="0"/>
                              </a:rPr>
                              <m:t>2</m:t>
                            </m:r>
                          </m:sup>
                        </m:sSup>
                        <m:r>
                          <a:rPr lang="en-US" sz="1200" b="0" i="1">
                            <a:latin typeface="Cambria Math" panose="02040503050406030204" pitchFamily="18" charset="0"/>
                          </a:rPr>
                          <m:t>+8</m:t>
                        </m:r>
                        <m:r>
                          <a:rPr lang="en-US" sz="1200" b="0" i="1">
                            <a:latin typeface="Cambria Math" panose="02040503050406030204" pitchFamily="18" charset="0"/>
                            <a:ea typeface="Cambria Math" panose="02040503050406030204" pitchFamily="18" charset="0"/>
                          </a:rPr>
                          <m:t>×</m:t>
                        </m:r>
                        <m:d>
                          <m:dPr>
                            <m:ctrlPr>
                              <a:rPr lang="en-US" sz="1200" b="0" i="1">
                                <a:latin typeface="Cambria Math" panose="02040503050406030204" pitchFamily="18" charset="0"/>
                                <a:ea typeface="Cambria Math" panose="02040503050406030204" pitchFamily="18" charset="0"/>
                              </a:rPr>
                            </m:ctrlPr>
                          </m:dPr>
                          <m:e>
                            <m:sSubSup>
                              <m:sSubSupPr>
                                <m:ctrlPr>
                                  <a:rPr lang="en-US" sz="1200" b="0" i="1">
                                    <a:latin typeface="Cambria Math" panose="02040503050406030204" pitchFamily="18" charset="0"/>
                                    <a:ea typeface="Cambria Math" panose="02040503050406030204" pitchFamily="18" charset="0"/>
                                  </a:rPr>
                                </m:ctrlPr>
                              </m:sSubSupPr>
                              <m:e>
                                <m:r>
                                  <a:rPr lang="en-US" sz="1200" b="0" i="1">
                                    <a:latin typeface="Cambria Math" panose="02040503050406030204" pitchFamily="18" charset="0"/>
                                    <a:ea typeface="Cambria Math" panose="02040503050406030204" pitchFamily="18" charset="0"/>
                                  </a:rPr>
                                  <m:t>𝑢</m:t>
                                </m:r>
                              </m:e>
                              <m:sub>
                                <m:r>
                                  <a:rPr lang="en-US" sz="1200" b="0" i="1">
                                    <a:latin typeface="Cambria Math" panose="02040503050406030204" pitchFamily="18" charset="0"/>
                                    <a:ea typeface="Cambria Math" panose="02040503050406030204" pitchFamily="18" charset="0"/>
                                  </a:rPr>
                                  <m:t>𝑚𝑆</m:t>
                                </m:r>
                              </m:sub>
                              <m:sup>
                                <m:r>
                                  <a:rPr lang="en-US" sz="1200" b="0" i="1">
                                    <a:latin typeface="Cambria Math" panose="02040503050406030204" pitchFamily="18" charset="0"/>
                                    <a:ea typeface="Cambria Math" panose="02040503050406030204" pitchFamily="18" charset="0"/>
                                  </a:rPr>
                                  <m:t>2</m:t>
                                </m:r>
                              </m:sup>
                            </m:sSubSup>
                          </m:e>
                        </m:d>
                        <m:r>
                          <a:rPr lang="en-US" sz="1200" b="0" i="1">
                            <a:latin typeface="Cambria Math" panose="02040503050406030204" pitchFamily="18" charset="0"/>
                            <a:ea typeface="Cambria Math" panose="02040503050406030204" pitchFamily="18" charset="0"/>
                          </a:rPr>
                          <m:t>+8×</m:t>
                        </m:r>
                        <m:d>
                          <m:dPr>
                            <m:ctrlPr>
                              <a:rPr lang="en-US" sz="1200" b="0" i="1">
                                <a:latin typeface="Cambria Math" panose="02040503050406030204" pitchFamily="18" charset="0"/>
                                <a:ea typeface="Cambria Math" panose="02040503050406030204" pitchFamily="18" charset="0"/>
                              </a:rPr>
                            </m:ctrlPr>
                          </m:dPr>
                          <m:e>
                            <m:sSubSup>
                              <m:sSubSupPr>
                                <m:ctrlPr>
                                  <a:rPr lang="en-US" sz="1200" b="0" i="1">
                                    <a:latin typeface="Cambria Math" panose="02040503050406030204" pitchFamily="18" charset="0"/>
                                    <a:ea typeface="Cambria Math" panose="02040503050406030204" pitchFamily="18" charset="0"/>
                                  </a:rPr>
                                </m:ctrlPr>
                              </m:sSubSupPr>
                              <m:e>
                                <m:r>
                                  <a:rPr lang="en-US" sz="1200" b="0" i="1">
                                    <a:latin typeface="Cambria Math" panose="02040503050406030204" pitchFamily="18" charset="0"/>
                                    <a:ea typeface="Cambria Math" panose="02040503050406030204" pitchFamily="18" charset="0"/>
                                  </a:rPr>
                                  <m:t>𝑢</m:t>
                                </m:r>
                              </m:e>
                              <m:sub>
                                <m:r>
                                  <a:rPr lang="en-US" sz="1200" b="0" i="1">
                                    <a:latin typeface="Cambria Math" panose="02040503050406030204" pitchFamily="18" charset="0"/>
                                    <a:ea typeface="Cambria Math" panose="02040503050406030204" pitchFamily="18" charset="0"/>
                                  </a:rPr>
                                  <m:t>𝑚𝑋</m:t>
                                </m:r>
                              </m:sub>
                              <m:sup>
                                <m:r>
                                  <a:rPr lang="en-US" sz="1200" b="0" i="1">
                                    <a:latin typeface="Cambria Math" panose="02040503050406030204" pitchFamily="18" charset="0"/>
                                    <a:ea typeface="Cambria Math" panose="02040503050406030204" pitchFamily="18" charset="0"/>
                                  </a:rPr>
                                  <m:t>2</m:t>
                                </m:r>
                              </m:sup>
                            </m:sSubSup>
                          </m:e>
                        </m:d>
                      </m:e>
                    </m:rad>
                  </m:oMath>
                </m:oMathPara>
              </a14:m>
              <a:endParaRPr lang="en-US" sz="1100"/>
            </a:p>
          </xdr:txBody>
        </xdr:sp>
      </mc:Choice>
      <mc:Fallback xmlns="">
        <xdr:sp macro="" textlink="">
          <xdr:nvSpPr>
            <xdr:cNvPr id="22" name="TextBox 21"/>
            <xdr:cNvSpPr txBox="1"/>
          </xdr:nvSpPr>
          <xdr:spPr>
            <a:xfrm>
              <a:off x="0" y="9540240"/>
              <a:ext cx="2824876" cy="375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𝑢_𝑛=√((𝑢_𝑆</a:t>
              </a:r>
              <a:r>
                <a:rPr lang="en-US" sz="1200" b="0" i="0">
                  <a:latin typeface="Cambria Math" panose="02040503050406030204" pitchFamily="18" charset="0"/>
                  <a:ea typeface="Cambria Math" panose="02040503050406030204" pitchFamily="18" charset="0"/>
                </a:rPr>
                <a:t>×8)^</a:t>
              </a:r>
              <a:r>
                <a:rPr lang="en-US" sz="1200" b="0" i="0">
                  <a:latin typeface="Cambria Math" panose="02040503050406030204" pitchFamily="18" charset="0"/>
                </a:rPr>
                <a:t>2+8</a:t>
              </a:r>
              <a:r>
                <a:rPr lang="en-US" sz="1200" b="0" i="0">
                  <a:latin typeface="Cambria Math" panose="02040503050406030204" pitchFamily="18" charset="0"/>
                  <a:ea typeface="Cambria Math" panose="02040503050406030204" pitchFamily="18" charset="0"/>
                </a:rPr>
                <a:t>×(𝑢_𝑚𝑆^2 )+8×(𝑢_𝑚𝑋^2 ) )</a:t>
              </a:r>
              <a:endParaRPr lang="en-US" sz="1100"/>
            </a:p>
          </xdr:txBody>
        </xdr:sp>
      </mc:Fallback>
    </mc:AlternateContent>
    <xdr:clientData/>
  </xdr:oneCellAnchor>
  <xdr:oneCellAnchor>
    <xdr:from>
      <xdr:col>0</xdr:col>
      <xdr:colOff>0</xdr:colOff>
      <xdr:row>44</xdr:row>
      <xdr:rowOff>0</xdr:rowOff>
    </xdr:from>
    <xdr:ext cx="801694" cy="191334"/>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500-000017000000}"/>
                </a:ext>
              </a:extLst>
            </xdr:cNvPr>
            <xdr:cNvSpPr txBox="1"/>
          </xdr:nvSpPr>
          <xdr:spPr>
            <a:xfrm>
              <a:off x="0" y="11635740"/>
              <a:ext cx="801694" cy="191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rPr>
                      <m:t>𝑉𝑜𝑙</m:t>
                    </m:r>
                    <m:r>
                      <a:rPr lang="en-US" sz="1200" b="0" i="1">
                        <a:latin typeface="Cambria Math" panose="02040503050406030204" pitchFamily="18" charset="0"/>
                      </a:rPr>
                      <m:t>=</m:t>
                    </m:r>
                    <m:r>
                      <a:rPr lang="en-US" sz="1200" b="0" i="1">
                        <a:latin typeface="Cambria Math" panose="02040503050406030204" pitchFamily="18" charset="0"/>
                        <a:ea typeface="Cambria Math" panose="02040503050406030204" pitchFamily="18" charset="0"/>
                      </a:rPr>
                      <m:t>𝜋</m:t>
                    </m:r>
                    <m:sSup>
                      <m:sSupPr>
                        <m:ctrlPr>
                          <a:rPr lang="en-US" sz="1200" b="0" i="1">
                            <a:latin typeface="Cambria Math" panose="02040503050406030204" pitchFamily="18" charset="0"/>
                            <a:ea typeface="Cambria Math" panose="02040503050406030204" pitchFamily="18" charset="0"/>
                          </a:rPr>
                        </m:ctrlPr>
                      </m:sSupPr>
                      <m:e>
                        <m:r>
                          <a:rPr lang="en-US" sz="1200" b="0" i="1">
                            <a:latin typeface="Cambria Math" panose="02040503050406030204" pitchFamily="18" charset="0"/>
                            <a:ea typeface="Cambria Math" panose="02040503050406030204" pitchFamily="18" charset="0"/>
                          </a:rPr>
                          <m:t>𝑟</m:t>
                        </m:r>
                      </m:e>
                      <m:sup>
                        <m:r>
                          <a:rPr lang="en-US" sz="1200" b="0" i="1">
                            <a:latin typeface="Cambria Math" panose="02040503050406030204" pitchFamily="18" charset="0"/>
                            <a:ea typeface="Cambria Math" panose="02040503050406030204" pitchFamily="18" charset="0"/>
                          </a:rPr>
                          <m:t>2</m:t>
                        </m:r>
                      </m:sup>
                    </m:sSup>
                    <m:r>
                      <a:rPr lang="en-US" sz="1200" b="0" i="1">
                        <a:latin typeface="Cambria Math" panose="02040503050406030204" pitchFamily="18" charset="0"/>
                        <a:ea typeface="Cambria Math" panose="02040503050406030204" pitchFamily="18" charset="0"/>
                      </a:rPr>
                      <m:t>h</m:t>
                    </m:r>
                  </m:oMath>
                </m:oMathPara>
              </a14:m>
              <a:endParaRPr lang="en-US" sz="1100"/>
            </a:p>
          </xdr:txBody>
        </xdr:sp>
      </mc:Choice>
      <mc:Fallback xmlns="">
        <xdr:sp macro="" textlink="">
          <xdr:nvSpPr>
            <xdr:cNvPr id="23" name="TextBox 22"/>
            <xdr:cNvSpPr txBox="1"/>
          </xdr:nvSpPr>
          <xdr:spPr>
            <a:xfrm>
              <a:off x="0" y="11635740"/>
              <a:ext cx="801694" cy="191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200" b="0" i="0">
                  <a:latin typeface="Cambria Math" panose="02040503050406030204" pitchFamily="18" charset="0"/>
                </a:rPr>
                <a:t>𝑉𝑜𝑙=</a:t>
              </a:r>
              <a:r>
                <a:rPr lang="en-US" sz="1200" b="0" i="0">
                  <a:latin typeface="Cambria Math" panose="02040503050406030204" pitchFamily="18" charset="0"/>
                  <a:ea typeface="Cambria Math" panose="02040503050406030204" pitchFamily="18" charset="0"/>
                </a:rPr>
                <a:t>𝜋𝑟^2 ℎ</a:t>
              </a:r>
              <a:endParaRPr lang="en-US" sz="1100"/>
            </a:p>
          </xdr:txBody>
        </xdr:sp>
      </mc:Fallback>
    </mc:AlternateContent>
    <xdr:clientData/>
  </xdr:oneCellAnchor>
</xdr:wsDr>
</file>

<file path=xl/drawings/drawing5.xml><?xml version="1.0" encoding="utf-8"?>
<c:userShapes xmlns:c="http://schemas.openxmlformats.org/drawingml/2006/chart">
  <cdr:relSizeAnchor xmlns:cdr="http://schemas.openxmlformats.org/drawingml/2006/chartDrawing">
    <cdr:from>
      <cdr:x>0.80675</cdr:x>
      <cdr:y>0.73341</cdr:y>
    </cdr:from>
    <cdr:to>
      <cdr:x>0.86143</cdr:x>
      <cdr:y>0.82111</cdr:y>
    </cdr:to>
    <cdr:sp macro="" textlink="">
      <cdr:nvSpPr>
        <cdr:cNvPr id="2" name="TextBox 2"/>
        <cdr:cNvSpPr txBox="1"/>
      </cdr:nvSpPr>
      <cdr:spPr>
        <a:xfrm xmlns:a="http://schemas.openxmlformats.org/drawingml/2006/main">
          <a:off x="7983220" y="2315268"/>
          <a:ext cx="541020" cy="27683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i="1">
              <a:latin typeface="Trebuchet MS" panose="020B0603020202020204" pitchFamily="34" charset="0"/>
            </a:rPr>
            <a:t>u</a:t>
          </a:r>
          <a:r>
            <a:rPr lang="en-US" sz="1400" i="1" baseline="-25000">
              <a:latin typeface="Trebuchet MS" panose="020B0603020202020204" pitchFamily="34" charset="0"/>
            </a:rPr>
            <a:t>mX</a:t>
          </a:r>
          <a:endParaRPr lang="en-US" sz="1200" i="1">
            <a:latin typeface="Trebuchet MS" panose="020B0603020202020204" pitchFamily="34" charset="0"/>
          </a:endParaRPr>
        </a:p>
      </cdr:txBody>
    </cdr:sp>
  </cdr:relSizeAnchor>
  <cdr:relSizeAnchor xmlns:cdr="http://schemas.openxmlformats.org/drawingml/2006/chartDrawing">
    <cdr:from>
      <cdr:x>0.528</cdr:x>
      <cdr:y>0.7382</cdr:y>
    </cdr:from>
    <cdr:to>
      <cdr:x>0.58267</cdr:x>
      <cdr:y>0.82589</cdr:y>
    </cdr:to>
    <cdr:sp macro="" textlink="">
      <cdr:nvSpPr>
        <cdr:cNvPr id="3" name="TextBox 2"/>
        <cdr:cNvSpPr txBox="1"/>
      </cdr:nvSpPr>
      <cdr:spPr>
        <a:xfrm xmlns:a="http://schemas.openxmlformats.org/drawingml/2006/main">
          <a:off x="5224780" y="2330370"/>
          <a:ext cx="541020" cy="27683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i="1">
              <a:latin typeface="Trebuchet MS" panose="020B0603020202020204" pitchFamily="34" charset="0"/>
            </a:rPr>
            <a:t>u</a:t>
          </a:r>
          <a:r>
            <a:rPr lang="en-US" sz="1400" i="1" baseline="-25000">
              <a:latin typeface="Trebuchet MS" panose="020B0603020202020204" pitchFamily="34" charset="0"/>
            </a:rPr>
            <a:t>mS</a:t>
          </a:r>
          <a:endParaRPr lang="en-US" sz="1200" i="1">
            <a:latin typeface="Trebuchet MS" panose="020B0603020202020204" pitchFamily="34" charset="0"/>
          </a:endParaRPr>
        </a:p>
      </cdr:txBody>
    </cdr:sp>
  </cdr:relSizeAnchor>
  <cdr:relSizeAnchor xmlns:cdr="http://schemas.openxmlformats.org/drawingml/2006/chartDrawing">
    <cdr:from>
      <cdr:x>0.24231</cdr:x>
      <cdr:y>0.7274</cdr:y>
    </cdr:from>
    <cdr:to>
      <cdr:x>0.29698</cdr:x>
      <cdr:y>0.81509</cdr:y>
    </cdr:to>
    <cdr:sp macro="" textlink="">
      <cdr:nvSpPr>
        <cdr:cNvPr id="4" name="TextBox 1"/>
        <cdr:cNvSpPr txBox="1"/>
      </cdr:nvSpPr>
      <cdr:spPr>
        <a:xfrm xmlns:a="http://schemas.openxmlformats.org/drawingml/2006/main">
          <a:off x="2397760" y="2113372"/>
          <a:ext cx="541020" cy="25478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sz="1400" i="1">
              <a:latin typeface="Trebuchet MS" panose="020B0603020202020204" pitchFamily="34" charset="0"/>
            </a:rPr>
            <a:t>u</a:t>
          </a:r>
          <a:r>
            <a:rPr lang="en-US" sz="1400" i="1" baseline="-25000">
              <a:latin typeface="Trebuchet MS" panose="020B0603020202020204" pitchFamily="34" charset="0"/>
            </a:rPr>
            <a:t>S</a:t>
          </a:r>
          <a:endParaRPr lang="en-US" sz="1200" i="1">
            <a:latin typeface="Trebuchet MS" panose="020B0603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NIST%20HB%20145,%20SOP%2021%20-%20LPG%20Provers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an%20Wright\My%20Documents\WSDA%20Metrology%20Laboratory\Uncertainties\Budgets\GravC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wright\Documents\Laboratory%20Documents\4.3%20Document%20Control\Templates\WAMRF%20-%20Linked\Volume%20Calibrations\Volume%20Workbook%20Templates\Uncertainties\GravC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45LPG"/>
      <sheetName val="Current"/>
      <sheetName val="Pcorr Table &amp; Chart"/>
    </sheetNames>
    <sheetDataSet>
      <sheetData sheetId="0" refreshError="1">
        <row r="67">
          <cell r="F67">
            <v>1</v>
          </cell>
        </row>
        <row r="99">
          <cell r="G99">
            <v>0</v>
          </cell>
          <cell r="I99">
            <v>0</v>
          </cell>
          <cell r="J99" t="e">
            <v>#VALUE!</v>
          </cell>
        </row>
        <row r="100">
          <cell r="G100">
            <v>10</v>
          </cell>
          <cell r="I100">
            <v>0</v>
          </cell>
          <cell r="J100" t="e">
            <v>#VALUE!</v>
          </cell>
        </row>
        <row r="101">
          <cell r="G101">
            <v>20</v>
          </cell>
          <cell r="I101">
            <v>0</v>
          </cell>
          <cell r="J101" t="e">
            <v>#VALUE!</v>
          </cell>
        </row>
        <row r="102">
          <cell r="G102">
            <v>30</v>
          </cell>
          <cell r="I102">
            <v>0</v>
          </cell>
          <cell r="J102" t="e">
            <v>#VALUE!</v>
          </cell>
        </row>
        <row r="103">
          <cell r="G103">
            <v>40</v>
          </cell>
          <cell r="I103">
            <v>0</v>
          </cell>
          <cell r="J103" t="e">
            <v>#VALUE!</v>
          </cell>
        </row>
        <row r="104">
          <cell r="G104">
            <v>50</v>
          </cell>
          <cell r="I104">
            <v>0</v>
          </cell>
          <cell r="J104" t="e">
            <v>#VALUE!</v>
          </cell>
        </row>
        <row r="105">
          <cell r="G105">
            <v>60</v>
          </cell>
          <cell r="I105">
            <v>0</v>
          </cell>
          <cell r="J105" t="e">
            <v>#VALUE!</v>
          </cell>
        </row>
        <row r="106">
          <cell r="G106">
            <v>70</v>
          </cell>
          <cell r="I106">
            <v>0</v>
          </cell>
          <cell r="J106" t="e">
            <v>#VALUE!</v>
          </cell>
        </row>
        <row r="107">
          <cell r="G107">
            <v>80</v>
          </cell>
          <cell r="I107">
            <v>0</v>
          </cell>
          <cell r="J107" t="e">
            <v>#VALUE!</v>
          </cell>
        </row>
        <row r="108">
          <cell r="G108">
            <v>90</v>
          </cell>
          <cell r="I108">
            <v>0</v>
          </cell>
          <cell r="J108" t="e">
            <v>#VALUE!</v>
          </cell>
        </row>
        <row r="109">
          <cell r="G109">
            <v>100</v>
          </cell>
          <cell r="I109">
            <v>0</v>
          </cell>
          <cell r="J109" t="e">
            <v>#VALUE!</v>
          </cell>
        </row>
        <row r="110">
          <cell r="G110">
            <v>110</v>
          </cell>
          <cell r="I110">
            <v>0</v>
          </cell>
          <cell r="J110" t="e">
            <v>#VALUE!</v>
          </cell>
        </row>
        <row r="111">
          <cell r="G111">
            <v>120</v>
          </cell>
          <cell r="I111">
            <v>0</v>
          </cell>
          <cell r="J111" t="e">
            <v>#VALUE!</v>
          </cell>
        </row>
        <row r="112">
          <cell r="G112">
            <v>130</v>
          </cell>
          <cell r="I112">
            <v>0</v>
          </cell>
          <cell r="J112" t="e">
            <v>#VALUE!</v>
          </cell>
        </row>
        <row r="113">
          <cell r="G113">
            <v>140</v>
          </cell>
          <cell r="I113">
            <v>0</v>
          </cell>
          <cell r="J113" t="e">
            <v>#VALUE!</v>
          </cell>
        </row>
        <row r="114">
          <cell r="G114">
            <v>150</v>
          </cell>
          <cell r="I114">
            <v>0</v>
          </cell>
          <cell r="J114" t="e">
            <v>#VALUE!</v>
          </cell>
        </row>
        <row r="115">
          <cell r="G115">
            <v>160</v>
          </cell>
          <cell r="I115">
            <v>0</v>
          </cell>
          <cell r="J115" t="e">
            <v>#VALUE!</v>
          </cell>
        </row>
        <row r="116">
          <cell r="G116">
            <v>170</v>
          </cell>
          <cell r="I116">
            <v>0</v>
          </cell>
          <cell r="J116" t="e">
            <v>#VALUE!</v>
          </cell>
        </row>
        <row r="117">
          <cell r="G117">
            <v>180</v>
          </cell>
          <cell r="I117">
            <v>0</v>
          </cell>
          <cell r="J117" t="e">
            <v>#VALUE!</v>
          </cell>
        </row>
        <row r="118">
          <cell r="G118">
            <v>190</v>
          </cell>
          <cell r="I118">
            <v>0</v>
          </cell>
          <cell r="J118" t="e">
            <v>#VALUE!</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Liter"/>
      <sheetName val="5 Gallon"/>
      <sheetName val="5 Gal Unc"/>
      <sheetName val="CIPM Air Density 1981_91"/>
      <sheetName val="Water Density"/>
      <sheetName val="Water Density Chart"/>
      <sheetName val="Water Density Chart 2"/>
    </sheetNames>
    <sheetDataSet>
      <sheetData sheetId="0"/>
      <sheetData sheetId="1"/>
      <sheetData sheetId="2"/>
      <sheetData sheetId="3"/>
      <sheetData sheetId="4"/>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Liter"/>
      <sheetName val="5 Gallon"/>
      <sheetName val="5 Gal Unc"/>
      <sheetName val="CIPM Air Density 1981_91"/>
      <sheetName val="Water Density"/>
      <sheetName val="Water Density Chart"/>
      <sheetName val="Water Density Chart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E21" totalsRowShown="0" headerRowDxfId="129" dataDxfId="127" headerRowBorderDxfId="128" tableBorderDxfId="126" totalsRowBorderDxfId="125">
  <autoFilter ref="A3:E21" xr:uid="{00000000-0009-0000-0100-000002000000}">
    <filterColumn colId="0" hiddenButton="1"/>
    <filterColumn colId="1" hiddenButton="1"/>
    <filterColumn colId="2" hiddenButton="1"/>
    <filterColumn colId="3" hiddenButton="1"/>
    <filterColumn colId="4" hiddenButton="1"/>
  </autoFilter>
  <tableColumns count="5">
    <tableColumn id="1" xr3:uid="{00000000-0010-0000-0000-000001000000}" name="Date" dataDxfId="124"/>
    <tableColumn id="2" xr3:uid="{00000000-0010-0000-0000-000002000000}" name="Page Number" dataDxfId="123"/>
    <tableColumn id="3" xr3:uid="{00000000-0010-0000-0000-000003000000}" name="Paragraph Number" dataDxfId="122"/>
    <tableColumn id="4" xr3:uid="{00000000-0010-0000-0000-000004000000}" name="Comments" dataDxfId="121"/>
    <tableColumn id="5" xr3:uid="{00000000-0010-0000-0000-000005000000}" name="AR Number" dataDxfId="12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14" displayName="List14" ref="A8:B35" totalsRowShown="0" headerRowDxfId="119" dataDxfId="117" headerRowBorderDxfId="118" tableBorderDxfId="116">
  <autoFilter ref="A8:B35" xr:uid="{00000000-0009-0000-0100-000003000000}"/>
  <tableColumns count="2">
    <tableColumn id="1" xr3:uid="{00000000-0010-0000-0100-000001000000}" name="Name" dataDxfId="115" dataCellStyle="Normal_WA Blank Mass Control Chart"/>
    <tableColumn id="2" xr3:uid="{00000000-0010-0000-0100-000002000000}" name="Range" dataDxfId="114" dataCellStyle="Normal_WA Blank Mass Control Chart"/>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List145" displayName="List145" ref="A3:B6" totalsRowShown="0" headerRowDxfId="113" headerRowBorderDxfId="112" tableBorderDxfId="111">
  <autoFilter ref="A3:B6" xr:uid="{00000000-0009-0000-0100-000004000000}"/>
  <tableColumns count="2">
    <tableColumn id="1" xr3:uid="{00000000-0010-0000-0200-000001000000}" name="No." dataDxfId="110" dataCellStyle="Normal_WA Blank Mass Control Chart"/>
    <tableColumn id="2" xr3:uid="{00000000-0010-0000-0200-000002000000}" name="Description" dataDxfId="109" dataCellStyle="Normal_WA Blank Mass Control Chart"/>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oleObject" Target="../embeddings/oleObject3.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H57"/>
  <sheetViews>
    <sheetView showGridLines="0" zoomScaleNormal="100" workbookViewId="0">
      <selection activeCell="B14" sqref="B14"/>
    </sheetView>
  </sheetViews>
  <sheetFormatPr defaultColWidth="0" defaultRowHeight="12.75" customHeight="1" zeroHeight="1" x14ac:dyDescent="0.2"/>
  <cols>
    <col min="1" max="1" width="12.21875" style="51" customWidth="1"/>
    <col min="2" max="2" width="58.21875" style="51" customWidth="1"/>
    <col min="3" max="3" width="9.6640625" style="117" customWidth="1"/>
    <col min="4" max="4" width="58.21875" style="51" customWidth="1"/>
    <col min="5" max="5" width="3.21875" style="51" customWidth="1"/>
    <col min="6" max="16384" width="8" style="51" hidden="1"/>
  </cols>
  <sheetData>
    <row r="1" spans="1:4" s="34" customFormat="1" ht="21" x14ac:dyDescent="0.35">
      <c r="A1" s="33" t="s">
        <v>40</v>
      </c>
      <c r="C1" s="35"/>
    </row>
    <row r="2" spans="1:4" s="37" customFormat="1" ht="18" x14ac:dyDescent="0.35">
      <c r="A2" s="36"/>
      <c r="C2" s="38"/>
    </row>
    <row r="3" spans="1:4" s="37" customFormat="1" ht="36" x14ac:dyDescent="0.35">
      <c r="A3" s="39" t="s">
        <v>41</v>
      </c>
      <c r="B3" s="40" t="s">
        <v>380</v>
      </c>
      <c r="C3" s="39" t="s">
        <v>42</v>
      </c>
      <c r="D3" s="41">
        <v>43369</v>
      </c>
    </row>
    <row r="4" spans="1:4" s="37" customFormat="1" ht="36" x14ac:dyDescent="0.35">
      <c r="A4" s="39" t="s">
        <v>43</v>
      </c>
      <c r="B4" s="40" t="s">
        <v>268</v>
      </c>
      <c r="C4" s="39" t="s">
        <v>44</v>
      </c>
      <c r="D4" s="42" t="s">
        <v>268</v>
      </c>
    </row>
    <row r="5" spans="1:4" s="47" customFormat="1" ht="18" customHeight="1" x14ac:dyDescent="0.25">
      <c r="A5" s="43" t="s">
        <v>45</v>
      </c>
      <c r="B5" s="44" t="s">
        <v>46</v>
      </c>
      <c r="C5" s="45" t="s">
        <v>47</v>
      </c>
      <c r="D5" s="46" t="s">
        <v>48</v>
      </c>
    </row>
    <row r="6" spans="1:4" ht="18" customHeight="1" x14ac:dyDescent="0.2">
      <c r="A6" s="294" t="s">
        <v>49</v>
      </c>
      <c r="B6" s="48" t="s">
        <v>50</v>
      </c>
      <c r="C6" s="49" t="s">
        <v>51</v>
      </c>
      <c r="D6" s="50" t="s">
        <v>52</v>
      </c>
    </row>
    <row r="7" spans="1:4" ht="18" customHeight="1" x14ac:dyDescent="0.2">
      <c r="A7" s="297"/>
      <c r="B7" s="52" t="s">
        <v>53</v>
      </c>
      <c r="C7" s="53" t="s">
        <v>51</v>
      </c>
      <c r="D7" s="54" t="s">
        <v>54</v>
      </c>
    </row>
    <row r="8" spans="1:4" ht="36" customHeight="1" x14ac:dyDescent="0.2">
      <c r="A8" s="297"/>
      <c r="B8" s="48" t="s">
        <v>55</v>
      </c>
      <c r="C8" s="49" t="s">
        <v>51</v>
      </c>
      <c r="D8" s="50" t="s">
        <v>56</v>
      </c>
    </row>
    <row r="9" spans="1:4" ht="36" customHeight="1" x14ac:dyDescent="0.2">
      <c r="A9" s="297"/>
      <c r="B9" s="52" t="s">
        <v>57</v>
      </c>
      <c r="C9" s="53" t="s">
        <v>51</v>
      </c>
      <c r="D9" s="54" t="s">
        <v>58</v>
      </c>
    </row>
    <row r="10" spans="1:4" ht="18" customHeight="1" x14ac:dyDescent="0.2">
      <c r="A10" s="297"/>
      <c r="B10" s="48" t="s">
        <v>59</v>
      </c>
      <c r="C10" s="49" t="s">
        <v>51</v>
      </c>
      <c r="D10" s="50" t="s">
        <v>60</v>
      </c>
    </row>
    <row r="11" spans="1:4" ht="57.2" customHeight="1" x14ac:dyDescent="0.2">
      <c r="A11" s="297"/>
      <c r="B11" s="52" t="s">
        <v>61</v>
      </c>
      <c r="C11" s="53" t="s">
        <v>39</v>
      </c>
      <c r="D11" s="54"/>
    </row>
    <row r="12" spans="1:4" ht="18" customHeight="1" x14ac:dyDescent="0.2">
      <c r="A12" s="297"/>
      <c r="B12" s="48" t="s">
        <v>62</v>
      </c>
      <c r="C12" s="49" t="s">
        <v>51</v>
      </c>
      <c r="D12" s="50" t="s">
        <v>63</v>
      </c>
    </row>
    <row r="13" spans="1:4" ht="36.75" customHeight="1" x14ac:dyDescent="0.2">
      <c r="A13" s="297"/>
      <c r="B13" s="52" t="s">
        <v>64</v>
      </c>
      <c r="C13" s="53" t="s">
        <v>51</v>
      </c>
      <c r="D13" s="54" t="s">
        <v>65</v>
      </c>
    </row>
    <row r="14" spans="1:4" ht="18" customHeight="1" x14ac:dyDescent="0.2">
      <c r="A14" s="297"/>
      <c r="B14" s="48" t="s">
        <v>66</v>
      </c>
      <c r="C14" s="49" t="s">
        <v>51</v>
      </c>
      <c r="D14" s="50" t="s">
        <v>67</v>
      </c>
    </row>
    <row r="15" spans="1:4" ht="18" customHeight="1" x14ac:dyDescent="0.2">
      <c r="A15" s="297"/>
      <c r="B15" s="52" t="s">
        <v>68</v>
      </c>
      <c r="C15" s="53" t="s">
        <v>51</v>
      </c>
      <c r="D15" s="54" t="s">
        <v>69</v>
      </c>
    </row>
    <row r="16" spans="1:4" ht="18" customHeight="1" x14ac:dyDescent="0.2">
      <c r="A16" s="297"/>
      <c r="B16" s="48" t="s">
        <v>70</v>
      </c>
      <c r="C16" s="49" t="s">
        <v>39</v>
      </c>
      <c r="D16" s="50" t="s">
        <v>71</v>
      </c>
    </row>
    <row r="17" spans="1:4" ht="18" customHeight="1" x14ac:dyDescent="0.2">
      <c r="A17" s="297"/>
      <c r="B17" s="52" t="s">
        <v>72</v>
      </c>
      <c r="C17" s="53" t="s">
        <v>51</v>
      </c>
      <c r="D17" s="54" t="s">
        <v>73</v>
      </c>
    </row>
    <row r="18" spans="1:4" ht="18" customHeight="1" x14ac:dyDescent="0.2">
      <c r="A18" s="297"/>
      <c r="B18" s="55" t="s">
        <v>74</v>
      </c>
      <c r="C18" s="56" t="s">
        <v>51</v>
      </c>
      <c r="D18" s="57" t="s">
        <v>75</v>
      </c>
    </row>
    <row r="19" spans="1:4" ht="18" customHeight="1" x14ac:dyDescent="0.2">
      <c r="A19" s="298" t="s">
        <v>76</v>
      </c>
      <c r="B19" s="58" t="s">
        <v>77</v>
      </c>
      <c r="C19" s="59" t="s">
        <v>51</v>
      </c>
      <c r="D19" s="60" t="s">
        <v>143</v>
      </c>
    </row>
    <row r="20" spans="1:4" ht="23.25" customHeight="1" x14ac:dyDescent="0.2">
      <c r="A20" s="298"/>
      <c r="B20" s="61" t="s">
        <v>78</v>
      </c>
      <c r="C20" s="62" t="s">
        <v>51</v>
      </c>
      <c r="D20" s="63" t="s">
        <v>79</v>
      </c>
    </row>
    <row r="21" spans="1:4" ht="18" customHeight="1" x14ac:dyDescent="0.2">
      <c r="A21" s="298"/>
      <c r="B21" s="58" t="s">
        <v>80</v>
      </c>
      <c r="C21" s="59" t="s">
        <v>51</v>
      </c>
      <c r="D21" s="60" t="s">
        <v>81</v>
      </c>
    </row>
    <row r="22" spans="1:4" ht="36" customHeight="1" x14ac:dyDescent="0.2">
      <c r="A22" s="298"/>
      <c r="B22" s="61" t="s">
        <v>82</v>
      </c>
      <c r="C22" s="62" t="s">
        <v>51</v>
      </c>
      <c r="D22" s="63" t="s">
        <v>83</v>
      </c>
    </row>
    <row r="23" spans="1:4" ht="18" customHeight="1" x14ac:dyDescent="0.2">
      <c r="A23" s="299" t="s">
        <v>84</v>
      </c>
      <c r="B23" s="64" t="s">
        <v>85</v>
      </c>
      <c r="C23" s="65" t="s">
        <v>51</v>
      </c>
      <c r="D23" s="66" t="s">
        <v>86</v>
      </c>
    </row>
    <row r="24" spans="1:4" ht="18" customHeight="1" x14ac:dyDescent="0.2">
      <c r="A24" s="299"/>
      <c r="B24" s="67" t="s">
        <v>87</v>
      </c>
      <c r="C24" s="68" t="s">
        <v>51</v>
      </c>
      <c r="D24" s="69" t="s">
        <v>88</v>
      </c>
    </row>
    <row r="25" spans="1:4" ht="36" customHeight="1" x14ac:dyDescent="0.2">
      <c r="A25" s="299"/>
      <c r="B25" s="64" t="s">
        <v>89</v>
      </c>
      <c r="C25" s="65" t="s">
        <v>51</v>
      </c>
      <c r="D25" s="66" t="s">
        <v>140</v>
      </c>
    </row>
    <row r="26" spans="1:4" ht="18" customHeight="1" x14ac:dyDescent="0.2">
      <c r="A26" s="299"/>
      <c r="B26" s="70" t="s">
        <v>90</v>
      </c>
      <c r="C26" s="68" t="s">
        <v>51</v>
      </c>
      <c r="D26" s="71" t="s">
        <v>141</v>
      </c>
    </row>
    <row r="27" spans="1:4" ht="36" customHeight="1" x14ac:dyDescent="0.2">
      <c r="A27" s="295" t="s">
        <v>91</v>
      </c>
      <c r="B27" s="72" t="s">
        <v>92</v>
      </c>
      <c r="C27" s="73" t="s">
        <v>51</v>
      </c>
      <c r="D27" s="74" t="s">
        <v>93</v>
      </c>
    </row>
    <row r="28" spans="1:4" ht="36" customHeight="1" x14ac:dyDescent="0.2">
      <c r="A28" s="295"/>
      <c r="B28" s="75" t="s">
        <v>94</v>
      </c>
      <c r="C28" s="76" t="s">
        <v>51</v>
      </c>
      <c r="D28" s="77" t="s">
        <v>95</v>
      </c>
    </row>
    <row r="29" spans="1:4" ht="36" customHeight="1" x14ac:dyDescent="0.2">
      <c r="A29" s="295"/>
      <c r="B29" s="78" t="s">
        <v>96</v>
      </c>
      <c r="C29" s="79" t="s">
        <v>51</v>
      </c>
      <c r="D29" s="80" t="s">
        <v>97</v>
      </c>
    </row>
    <row r="30" spans="1:4" ht="18" customHeight="1" x14ac:dyDescent="0.2">
      <c r="A30" s="300" t="s">
        <v>98</v>
      </c>
      <c r="B30" s="81" t="s">
        <v>99</v>
      </c>
      <c r="C30" s="82" t="s">
        <v>39</v>
      </c>
      <c r="D30" s="83" t="s">
        <v>100</v>
      </c>
    </row>
    <row r="31" spans="1:4" ht="18" customHeight="1" x14ac:dyDescent="0.2">
      <c r="A31" s="300"/>
      <c r="B31" s="84" t="s">
        <v>101</v>
      </c>
      <c r="C31" s="85" t="s">
        <v>39</v>
      </c>
      <c r="D31" s="86" t="s">
        <v>102</v>
      </c>
    </row>
    <row r="32" spans="1:4" ht="18" customHeight="1" x14ac:dyDescent="0.2">
      <c r="A32" s="300"/>
      <c r="B32" s="81" t="s">
        <v>103</v>
      </c>
      <c r="C32" s="82" t="s">
        <v>51</v>
      </c>
      <c r="D32" s="83" t="s">
        <v>93</v>
      </c>
    </row>
    <row r="33" spans="1:4" ht="18" customHeight="1" x14ac:dyDescent="0.2">
      <c r="A33" s="300"/>
      <c r="B33" s="84" t="s">
        <v>104</v>
      </c>
      <c r="C33" s="85" t="s">
        <v>51</v>
      </c>
      <c r="D33" s="86" t="s">
        <v>105</v>
      </c>
    </row>
    <row r="34" spans="1:4" ht="18" customHeight="1" x14ac:dyDescent="0.2">
      <c r="A34" s="300"/>
      <c r="B34" s="81" t="s">
        <v>106</v>
      </c>
      <c r="C34" s="82" t="s">
        <v>51</v>
      </c>
      <c r="D34" s="83" t="s">
        <v>107</v>
      </c>
    </row>
    <row r="35" spans="1:4" ht="18" customHeight="1" x14ac:dyDescent="0.2">
      <c r="A35" s="300"/>
      <c r="B35" s="87" t="s">
        <v>108</v>
      </c>
      <c r="C35" s="88" t="s">
        <v>51</v>
      </c>
      <c r="D35" s="89" t="s">
        <v>109</v>
      </c>
    </row>
    <row r="36" spans="1:4" ht="18" customHeight="1" x14ac:dyDescent="0.2">
      <c r="A36" s="301" t="s">
        <v>110</v>
      </c>
      <c r="B36" s="90" t="s">
        <v>111</v>
      </c>
      <c r="C36" s="91" t="s">
        <v>51</v>
      </c>
      <c r="D36" s="92" t="s">
        <v>112</v>
      </c>
    </row>
    <row r="37" spans="1:4" ht="35.450000000000003" customHeight="1" x14ac:dyDescent="0.2">
      <c r="A37" s="301"/>
      <c r="B37" s="93" t="s">
        <v>113</v>
      </c>
      <c r="C37" s="94" t="s">
        <v>51</v>
      </c>
      <c r="D37" s="95" t="s">
        <v>114</v>
      </c>
    </row>
    <row r="38" spans="1:4" ht="18" customHeight="1" x14ac:dyDescent="0.2">
      <c r="A38" s="301"/>
      <c r="B38" s="96" t="s">
        <v>115</v>
      </c>
      <c r="C38" s="97" t="s">
        <v>51</v>
      </c>
      <c r="D38" s="92" t="s">
        <v>116</v>
      </c>
    </row>
    <row r="39" spans="1:4" ht="54" customHeight="1" x14ac:dyDescent="0.2">
      <c r="A39" s="301"/>
      <c r="B39" s="98" t="s">
        <v>117</v>
      </c>
      <c r="C39" s="99" t="s">
        <v>39</v>
      </c>
      <c r="D39" s="100"/>
    </row>
    <row r="40" spans="1:4" ht="36" customHeight="1" x14ac:dyDescent="0.2">
      <c r="A40" s="293" t="s">
        <v>118</v>
      </c>
      <c r="B40" s="48" t="s">
        <v>208</v>
      </c>
      <c r="C40" s="49" t="s">
        <v>51</v>
      </c>
      <c r="D40" s="50" t="s">
        <v>119</v>
      </c>
    </row>
    <row r="41" spans="1:4" ht="36" customHeight="1" x14ac:dyDescent="0.2">
      <c r="A41" s="294"/>
      <c r="B41" s="101" t="s">
        <v>120</v>
      </c>
      <c r="C41" s="53" t="s">
        <v>51</v>
      </c>
      <c r="D41" s="102" t="s">
        <v>121</v>
      </c>
    </row>
    <row r="42" spans="1:4" ht="54" customHeight="1" x14ac:dyDescent="0.2">
      <c r="A42" s="103" t="s">
        <v>122</v>
      </c>
      <c r="B42" s="104" t="s">
        <v>123</v>
      </c>
      <c r="C42" s="105" t="s">
        <v>51</v>
      </c>
      <c r="D42" s="106" t="s">
        <v>124</v>
      </c>
    </row>
    <row r="43" spans="1:4" ht="63.75" customHeight="1" x14ac:dyDescent="0.2">
      <c r="A43" s="107" t="s">
        <v>125</v>
      </c>
      <c r="B43" s="67" t="s">
        <v>126</v>
      </c>
      <c r="C43" s="108" t="s">
        <v>39</v>
      </c>
      <c r="D43" s="109" t="s">
        <v>127</v>
      </c>
    </row>
    <row r="44" spans="1:4" ht="36" customHeight="1" x14ac:dyDescent="0.2">
      <c r="A44" s="295" t="s">
        <v>128</v>
      </c>
      <c r="B44" s="72" t="s">
        <v>129</v>
      </c>
      <c r="C44" s="73" t="s">
        <v>51</v>
      </c>
      <c r="D44" s="110" t="s">
        <v>130</v>
      </c>
    </row>
    <row r="45" spans="1:4" ht="18" customHeight="1" x14ac:dyDescent="0.2">
      <c r="A45" s="295"/>
      <c r="B45" s="75" t="s">
        <v>131</v>
      </c>
      <c r="C45" s="76" t="s">
        <v>51</v>
      </c>
      <c r="D45" s="111" t="s">
        <v>132</v>
      </c>
    </row>
    <row r="46" spans="1:4" ht="18" customHeight="1" x14ac:dyDescent="0.2">
      <c r="A46" s="295"/>
      <c r="B46" s="112" t="s">
        <v>133</v>
      </c>
      <c r="C46" s="113" t="s">
        <v>51</v>
      </c>
      <c r="D46" s="110" t="s">
        <v>134</v>
      </c>
    </row>
    <row r="47" spans="1:4" ht="18" customHeight="1" x14ac:dyDescent="0.2">
      <c r="A47" s="295"/>
      <c r="B47" s="75" t="s">
        <v>135</v>
      </c>
      <c r="C47" s="76" t="s">
        <v>51</v>
      </c>
      <c r="D47" s="111" t="s">
        <v>137</v>
      </c>
    </row>
    <row r="48" spans="1:4" ht="18" customHeight="1" x14ac:dyDescent="0.2">
      <c r="A48" s="295"/>
      <c r="B48" s="112" t="s">
        <v>136</v>
      </c>
      <c r="C48" s="113" t="s">
        <v>51</v>
      </c>
      <c r="D48" s="110" t="s">
        <v>139</v>
      </c>
    </row>
    <row r="49" spans="1:8" ht="18" customHeight="1" x14ac:dyDescent="0.2">
      <c r="A49" s="295"/>
      <c r="B49" s="114" t="s">
        <v>138</v>
      </c>
      <c r="C49" s="115" t="s">
        <v>51</v>
      </c>
      <c r="D49" s="116" t="s">
        <v>254</v>
      </c>
    </row>
    <row r="50" spans="1:8" x14ac:dyDescent="0.2"/>
    <row r="51" spans="1:8" hidden="1" x14ac:dyDescent="0.2"/>
    <row r="52" spans="1:8" hidden="1" x14ac:dyDescent="0.2"/>
    <row r="53" spans="1:8" hidden="1" x14ac:dyDescent="0.2"/>
    <row r="54" spans="1:8" hidden="1" x14ac:dyDescent="0.2"/>
    <row r="55" spans="1:8" hidden="1" x14ac:dyDescent="0.2"/>
    <row r="56" spans="1:8" hidden="1" x14ac:dyDescent="0.2"/>
    <row r="57" spans="1:8" hidden="1" x14ac:dyDescent="0.2">
      <c r="E57" s="296"/>
      <c r="F57" s="296"/>
      <c r="G57" s="118"/>
      <c r="H57" s="118"/>
    </row>
  </sheetData>
  <sheetProtection algorithmName="SHA-512" hashValue="U/5LZJBwZh/cv+NcJFhLJpgxWyLAi/C32TzYwCR3CyWI4O9XkQtmjRGVBBTrHCLimMgOOZ/WgIka8Yk1fbjJiQ==" saltValue="pL/2H6oYYwxHWikDKKehMg==" spinCount="100000" sheet="1" objects="1" scenarios="1"/>
  <mergeCells count="9">
    <mergeCell ref="A40:A41"/>
    <mergeCell ref="A44:A49"/>
    <mergeCell ref="E57:F57"/>
    <mergeCell ref="A6:A18"/>
    <mergeCell ref="A19:A22"/>
    <mergeCell ref="A23:A26"/>
    <mergeCell ref="A27:A29"/>
    <mergeCell ref="A30:A35"/>
    <mergeCell ref="A36:A39"/>
  </mergeCells>
  <dataValidations count="1">
    <dataValidation type="list" allowBlank="1" showInputMessage="1" showErrorMessage="1" sqref="C6:C49" xr:uid="{00000000-0002-0000-0000-000000000000}">
      <formula1>"Pass,Fail,N/A"</formula1>
    </dataValidation>
  </dataValidations>
  <printOptions horizontalCentered="1"/>
  <pageMargins left="0.5" right="0.5" top="0.75" bottom="0.75" header="0.3" footer="0.3"/>
  <pageSetup scale="77" fitToHeight="5" orientation="landscape" r:id="rId1"/>
  <headerFooter>
    <oddHeader>&amp;L&amp;"Trebuchet MS,Regular"Weights and Measures Program
Metrology Laboratory&amp;R&amp;"Trebuchet MS,Regular"WAQCF-018, Rev. 04, 8/9/2010</oddHeader>
    <oddFooter>&amp;R&amp;"Trebuchet MS,Regular"Page &amp;P of &amp;N</oddFooter>
  </headerFooter>
  <rowBreaks count="2" manualBreakCount="2">
    <brk id="26" max="3" man="1"/>
    <brk id="4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autoPageBreaks="0"/>
  </sheetPr>
  <dimension ref="A1:F21"/>
  <sheetViews>
    <sheetView showGridLines="0" workbookViewId="0">
      <pane ySplit="3" topLeftCell="A4" activePane="bottomLeft" state="frozen"/>
      <selection pane="bottomLeft" activeCell="D19" sqref="D19"/>
    </sheetView>
  </sheetViews>
  <sheetFormatPr defaultColWidth="0" defaultRowHeight="15" x14ac:dyDescent="0.25"/>
  <cols>
    <col min="1" max="1" width="11.33203125" style="282" customWidth="1"/>
    <col min="2" max="2" width="9.5546875" style="282" customWidth="1"/>
    <col min="3" max="3" width="16.77734375" style="282" customWidth="1"/>
    <col min="4" max="4" width="28.21875" style="282" customWidth="1"/>
    <col min="5" max="5" width="7.88671875" style="292" customWidth="1"/>
    <col min="6" max="6" width="7.21875" style="282" customWidth="1"/>
    <col min="7" max="16384" width="7.21875" style="282" hidden="1"/>
  </cols>
  <sheetData>
    <row r="1" spans="1:5" s="277" customFormat="1" ht="36" customHeight="1" thickTop="1" x14ac:dyDescent="0.25">
      <c r="A1" s="302" t="s">
        <v>365</v>
      </c>
      <c r="B1" s="303"/>
      <c r="C1" s="303"/>
      <c r="D1" s="303"/>
      <c r="E1" s="304"/>
    </row>
    <row r="2" spans="1:5" s="277" customFormat="1" ht="24" customHeight="1" x14ac:dyDescent="0.25">
      <c r="A2" s="278" t="s">
        <v>366</v>
      </c>
      <c r="B2" s="305" t="s">
        <v>367</v>
      </c>
      <c r="C2" s="305"/>
      <c r="D2" s="305"/>
      <c r="E2" s="306"/>
    </row>
    <row r="3" spans="1:5" ht="36" customHeight="1" x14ac:dyDescent="0.25">
      <c r="A3" s="279" t="s">
        <v>15</v>
      </c>
      <c r="B3" s="280" t="s">
        <v>368</v>
      </c>
      <c r="C3" s="280" t="s">
        <v>369</v>
      </c>
      <c r="D3" s="280" t="s">
        <v>370</v>
      </c>
      <c r="E3" s="281" t="s">
        <v>371</v>
      </c>
    </row>
    <row r="4" spans="1:5" ht="54" x14ac:dyDescent="0.25">
      <c r="A4" s="283">
        <v>42815</v>
      </c>
      <c r="B4" s="284"/>
      <c r="C4" s="284"/>
      <c r="D4" s="284" t="s">
        <v>372</v>
      </c>
      <c r="E4" s="285">
        <v>253</v>
      </c>
    </row>
    <row r="5" spans="1:5" ht="18" x14ac:dyDescent="0.25">
      <c r="A5" s="283">
        <v>42887</v>
      </c>
      <c r="B5" s="284"/>
      <c r="C5" s="284" t="s">
        <v>373</v>
      </c>
      <c r="D5" s="284" t="s">
        <v>267</v>
      </c>
      <c r="E5" s="285">
        <v>257</v>
      </c>
    </row>
    <row r="6" spans="1:5" ht="126" x14ac:dyDescent="0.25">
      <c r="A6" s="283">
        <v>42941</v>
      </c>
      <c r="B6" s="284"/>
      <c r="C6" s="284"/>
      <c r="D6" s="284" t="s">
        <v>374</v>
      </c>
      <c r="E6" s="285">
        <v>264</v>
      </c>
    </row>
    <row r="7" spans="1:5" ht="72" x14ac:dyDescent="0.25">
      <c r="A7" s="283">
        <v>43048</v>
      </c>
      <c r="B7" s="284"/>
      <c r="C7" s="284" t="s">
        <v>375</v>
      </c>
      <c r="D7" s="284" t="s">
        <v>282</v>
      </c>
      <c r="E7" s="285">
        <v>275</v>
      </c>
    </row>
    <row r="8" spans="1:5" ht="72" x14ac:dyDescent="0.25">
      <c r="A8" s="283">
        <v>43048</v>
      </c>
      <c r="B8" s="284"/>
      <c r="C8" s="284" t="s">
        <v>375</v>
      </c>
      <c r="D8" s="284" t="s">
        <v>283</v>
      </c>
      <c r="E8" s="285"/>
    </row>
    <row r="9" spans="1:5" ht="72" x14ac:dyDescent="0.25">
      <c r="A9" s="283">
        <v>43048</v>
      </c>
      <c r="B9" s="284"/>
      <c r="C9" s="284" t="s">
        <v>376</v>
      </c>
      <c r="D9" s="284" t="s">
        <v>284</v>
      </c>
      <c r="E9" s="285">
        <v>275</v>
      </c>
    </row>
    <row r="10" spans="1:5" ht="72" x14ac:dyDescent="0.25">
      <c r="A10" s="283">
        <v>43056</v>
      </c>
      <c r="B10" s="284"/>
      <c r="C10" s="284" t="s">
        <v>376</v>
      </c>
      <c r="D10" s="284" t="s">
        <v>285</v>
      </c>
      <c r="E10" s="285">
        <v>275</v>
      </c>
    </row>
    <row r="11" spans="1:5" ht="72" x14ac:dyDescent="0.25">
      <c r="A11" s="283">
        <v>43056</v>
      </c>
      <c r="B11" s="284"/>
      <c r="C11" s="284" t="s">
        <v>376</v>
      </c>
      <c r="D11" s="284" t="s">
        <v>286</v>
      </c>
      <c r="E11" s="285">
        <v>275</v>
      </c>
    </row>
    <row r="12" spans="1:5" ht="36" x14ac:dyDescent="0.25">
      <c r="A12" s="283">
        <v>43074</v>
      </c>
      <c r="B12" s="284"/>
      <c r="C12" s="284"/>
      <c r="D12" s="284" t="s">
        <v>353</v>
      </c>
      <c r="E12" s="285">
        <v>275</v>
      </c>
    </row>
    <row r="13" spans="1:5" ht="36" x14ac:dyDescent="0.25">
      <c r="A13" s="283">
        <v>43074</v>
      </c>
      <c r="B13" s="284"/>
      <c r="C13" s="284"/>
      <c r="D13" s="284" t="s">
        <v>354</v>
      </c>
      <c r="E13" s="285">
        <v>275</v>
      </c>
    </row>
    <row r="14" spans="1:5" ht="54" x14ac:dyDescent="0.25">
      <c r="A14" s="283">
        <v>43074</v>
      </c>
      <c r="B14" s="284"/>
      <c r="C14" s="284"/>
      <c r="D14" s="284" t="s">
        <v>355</v>
      </c>
      <c r="E14" s="285">
        <v>275</v>
      </c>
    </row>
    <row r="15" spans="1:5" ht="36" x14ac:dyDescent="0.25">
      <c r="A15" s="283">
        <v>43074</v>
      </c>
      <c r="B15" s="284"/>
      <c r="C15" s="284"/>
      <c r="D15" s="284" t="s">
        <v>356</v>
      </c>
      <c r="E15" s="285">
        <v>275</v>
      </c>
    </row>
    <row r="16" spans="1:5" ht="72" x14ac:dyDescent="0.25">
      <c r="A16" s="283">
        <v>43074</v>
      </c>
      <c r="B16" s="284"/>
      <c r="C16" s="284"/>
      <c r="D16" s="284" t="s">
        <v>377</v>
      </c>
      <c r="E16" s="285">
        <v>275</v>
      </c>
    </row>
    <row r="17" spans="1:5" ht="54" x14ac:dyDescent="0.25">
      <c r="A17" s="283">
        <v>43074</v>
      </c>
      <c r="B17" s="286"/>
      <c r="C17" s="286"/>
      <c r="D17" s="286" t="s">
        <v>363</v>
      </c>
      <c r="E17" s="285">
        <v>275</v>
      </c>
    </row>
    <row r="18" spans="1:5" ht="54" x14ac:dyDescent="0.25">
      <c r="A18" s="287">
        <v>43369</v>
      </c>
      <c r="B18" s="286"/>
      <c r="C18" s="286"/>
      <c r="D18" s="286" t="s">
        <v>378</v>
      </c>
      <c r="E18" s="288">
        <v>286</v>
      </c>
    </row>
    <row r="19" spans="1:5" ht="36" x14ac:dyDescent="0.25">
      <c r="A19" s="283">
        <v>43369</v>
      </c>
      <c r="B19" s="284"/>
      <c r="C19" s="284"/>
      <c r="D19" s="284" t="s">
        <v>379</v>
      </c>
      <c r="E19" s="285">
        <v>286</v>
      </c>
    </row>
    <row r="20" spans="1:5" ht="54" x14ac:dyDescent="0.25">
      <c r="A20" s="495">
        <v>45722</v>
      </c>
      <c r="B20" s="496"/>
      <c r="C20" s="496"/>
      <c r="D20" s="496" t="s">
        <v>381</v>
      </c>
      <c r="E20" s="497"/>
    </row>
    <row r="21" spans="1:5" ht="18" x14ac:dyDescent="0.25">
      <c r="A21" s="289"/>
      <c r="B21" s="290"/>
      <c r="C21" s="290"/>
      <c r="D21" s="290"/>
      <c r="E21" s="291"/>
    </row>
  </sheetData>
  <sheetProtection algorithmName="SHA-512" hashValue="0jrJPswdvMeJeBuALq4F0Jdex1S3Gjh5WAvPOk1vsB9ZIk8mJXfhL781jie90SO14jdew55/PfvcqM6xU3rp7Q==" saltValue="bZN2rC+OCb+UZvVDNggL+w==" spinCount="100000" sheet="1" objects="1" scenarios="1"/>
  <mergeCells count="2">
    <mergeCell ref="A1:E1"/>
    <mergeCell ref="B2:E2"/>
  </mergeCells>
  <pageMargins left="0.7" right="0.7" top="1.25" bottom="0.75" header="0.3" footer="0.3"/>
  <pageSetup orientation="portrait" r:id="rId1"/>
  <headerFooter>
    <oddHeader>&amp;L&amp;G
&amp;"Trebuchet MS,Bold"Weights and Measures Program&amp;R&amp;"Trebuchet MS,Regular"&amp;10Metrology Laboratory Form
WAQCF-011, Rev. 02, 2/5/2018</oddHeader>
    <oddFooter>&amp;L&amp;"Trebuchet MS,Regular"&amp;10&amp;A&amp;R&amp;"Trebuchet MS,Regular"&amp;10Page | &amp;P of &amp;N</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autoPageBreaks="0"/>
  </sheetPr>
  <dimension ref="A1:D35"/>
  <sheetViews>
    <sheetView showGridLines="0" workbookViewId="0">
      <selection activeCell="B1" sqref="B1"/>
    </sheetView>
  </sheetViews>
  <sheetFormatPr defaultColWidth="0" defaultRowHeight="16.5" x14ac:dyDescent="0.25"/>
  <cols>
    <col min="1" max="1" width="17.5546875" style="18" customWidth="1"/>
    <col min="2" max="2" width="58.109375" style="16" customWidth="1"/>
    <col min="3" max="3" width="3.77734375" style="17" customWidth="1"/>
    <col min="4" max="4" width="0" style="17" hidden="1" customWidth="1"/>
    <col min="5" max="16384" width="7.109375" style="17" hidden="1"/>
  </cols>
  <sheetData>
    <row r="1" spans="1:2" s="276" customFormat="1" ht="108" x14ac:dyDescent="0.35">
      <c r="A1" s="274"/>
      <c r="B1" s="275" t="s">
        <v>364</v>
      </c>
    </row>
    <row r="2" spans="1:2" ht="18.75" x14ac:dyDescent="0.3">
      <c r="A2" s="307" t="s">
        <v>142</v>
      </c>
      <c r="B2" s="307"/>
    </row>
    <row r="3" spans="1:2" ht="18" x14ac:dyDescent="0.25">
      <c r="A3" s="20" t="s">
        <v>19</v>
      </c>
      <c r="B3" s="21" t="s">
        <v>2</v>
      </c>
    </row>
    <row r="4" spans="1:2" ht="36" x14ac:dyDescent="0.25">
      <c r="A4" s="32">
        <v>1</v>
      </c>
      <c r="B4" s="19" t="s">
        <v>266</v>
      </c>
    </row>
    <row r="5" spans="1:2" ht="18" x14ac:dyDescent="0.25">
      <c r="A5" s="32">
        <v>2</v>
      </c>
      <c r="B5" s="19" t="s">
        <v>209</v>
      </c>
    </row>
    <row r="6" spans="1:2" ht="36" x14ac:dyDescent="0.25">
      <c r="A6" s="32">
        <v>3</v>
      </c>
      <c r="B6" s="19" t="s">
        <v>265</v>
      </c>
    </row>
    <row r="7" spans="1:2" s="16" customFormat="1" ht="18.75" x14ac:dyDescent="0.3">
      <c r="A7" s="307" t="s">
        <v>18</v>
      </c>
      <c r="B7" s="307"/>
    </row>
    <row r="8" spans="1:2" ht="18" x14ac:dyDescent="0.25">
      <c r="A8" s="22" t="s">
        <v>16</v>
      </c>
      <c r="B8" s="23" t="s">
        <v>17</v>
      </c>
    </row>
    <row r="9" spans="1:2" ht="18" x14ac:dyDescent="0.25">
      <c r="A9" s="24" t="s">
        <v>272</v>
      </c>
      <c r="B9" s="24" t="s">
        <v>329</v>
      </c>
    </row>
    <row r="10" spans="1:2" ht="18" x14ac:dyDescent="0.25">
      <c r="A10" s="24" t="s">
        <v>20</v>
      </c>
      <c r="B10" s="24" t="s">
        <v>330</v>
      </c>
    </row>
    <row r="11" spans="1:2" ht="18" x14ac:dyDescent="0.25">
      <c r="A11" s="24" t="s">
        <v>273</v>
      </c>
      <c r="B11" s="24" t="s">
        <v>331</v>
      </c>
    </row>
    <row r="12" spans="1:2" ht="18" x14ac:dyDescent="0.25">
      <c r="A12" s="24" t="s">
        <v>8</v>
      </c>
      <c r="B12" s="24" t="s">
        <v>332</v>
      </c>
    </row>
    <row r="13" spans="1:2" ht="18" x14ac:dyDescent="0.25">
      <c r="A13" s="24" t="s">
        <v>281</v>
      </c>
      <c r="B13" s="24" t="s">
        <v>333</v>
      </c>
    </row>
    <row r="14" spans="1:2" ht="18" x14ac:dyDescent="0.25">
      <c r="A14" s="24" t="s">
        <v>197</v>
      </c>
      <c r="B14" s="24" t="s">
        <v>334</v>
      </c>
    </row>
    <row r="15" spans="1:2" ht="18" x14ac:dyDescent="0.25">
      <c r="A15" s="24" t="s">
        <v>198</v>
      </c>
      <c r="B15" s="24" t="s">
        <v>335</v>
      </c>
    </row>
    <row r="16" spans="1:2" ht="18" x14ac:dyDescent="0.25">
      <c r="A16" s="24" t="s">
        <v>33</v>
      </c>
      <c r="B16" s="24" t="s">
        <v>336</v>
      </c>
    </row>
    <row r="17" spans="1:2" ht="18" x14ac:dyDescent="0.25">
      <c r="A17" s="24" t="s">
        <v>261</v>
      </c>
      <c r="B17" s="24" t="s">
        <v>337</v>
      </c>
    </row>
    <row r="18" spans="1:2" ht="18" x14ac:dyDescent="0.25">
      <c r="A18" s="24" t="s">
        <v>21</v>
      </c>
      <c r="B18" s="24" t="s">
        <v>338</v>
      </c>
    </row>
    <row r="19" spans="1:2" ht="18" x14ac:dyDescent="0.25">
      <c r="A19" s="24" t="s">
        <v>199</v>
      </c>
      <c r="B19" s="24" t="s">
        <v>339</v>
      </c>
    </row>
    <row r="20" spans="1:2" ht="18" x14ac:dyDescent="0.25">
      <c r="A20" s="24" t="s">
        <v>212</v>
      </c>
      <c r="B20" s="24" t="s">
        <v>340</v>
      </c>
    </row>
    <row r="21" spans="1:2" ht="18" x14ac:dyDescent="0.25">
      <c r="A21" s="24" t="s">
        <v>34</v>
      </c>
      <c r="B21" s="24" t="s">
        <v>341</v>
      </c>
    </row>
    <row r="22" spans="1:2" ht="18" x14ac:dyDescent="0.25">
      <c r="A22" s="24" t="s">
        <v>200</v>
      </c>
      <c r="B22" s="24" t="s">
        <v>342</v>
      </c>
    </row>
    <row r="23" spans="1:2" ht="18" x14ac:dyDescent="0.25">
      <c r="A23" s="24" t="s">
        <v>201</v>
      </c>
      <c r="B23" s="24" t="s">
        <v>343</v>
      </c>
    </row>
    <row r="24" spans="1:2" ht="18" x14ac:dyDescent="0.25">
      <c r="A24" s="24" t="s">
        <v>202</v>
      </c>
      <c r="B24" s="24" t="s">
        <v>344</v>
      </c>
    </row>
    <row r="25" spans="1:2" ht="18" x14ac:dyDescent="0.25">
      <c r="A25" s="24" t="s">
        <v>203</v>
      </c>
      <c r="B25" s="24" t="s">
        <v>345</v>
      </c>
    </row>
    <row r="26" spans="1:2" ht="18" x14ac:dyDescent="0.25">
      <c r="A26" s="24" t="s">
        <v>22</v>
      </c>
      <c r="B26" s="24" t="s">
        <v>346</v>
      </c>
    </row>
    <row r="27" spans="1:2" ht="18" x14ac:dyDescent="0.25">
      <c r="A27" s="24" t="s">
        <v>35</v>
      </c>
      <c r="B27" s="24" t="s">
        <v>347</v>
      </c>
    </row>
    <row r="28" spans="1:2" ht="18" x14ac:dyDescent="0.25">
      <c r="A28" s="24" t="s">
        <v>359</v>
      </c>
      <c r="B28" s="24" t="s">
        <v>360</v>
      </c>
    </row>
    <row r="29" spans="1:2" ht="18" x14ac:dyDescent="0.25">
      <c r="A29" s="24" t="s">
        <v>361</v>
      </c>
      <c r="B29" s="24" t="s">
        <v>362</v>
      </c>
    </row>
    <row r="30" spans="1:2" ht="18" x14ac:dyDescent="0.25">
      <c r="A30" s="24" t="s">
        <v>357</v>
      </c>
      <c r="B30" s="24" t="s">
        <v>358</v>
      </c>
    </row>
    <row r="31" spans="1:2" ht="18" x14ac:dyDescent="0.25">
      <c r="A31" s="24" t="s">
        <v>204</v>
      </c>
      <c r="B31" s="24" t="s">
        <v>262</v>
      </c>
    </row>
    <row r="32" spans="1:2" ht="18" x14ac:dyDescent="0.25">
      <c r="A32" s="24" t="s">
        <v>205</v>
      </c>
      <c r="B32" s="24" t="s">
        <v>348</v>
      </c>
    </row>
    <row r="33" spans="1:2" ht="18" x14ac:dyDescent="0.25">
      <c r="A33" s="272" t="s">
        <v>206</v>
      </c>
      <c r="B33" s="272" t="s">
        <v>349</v>
      </c>
    </row>
    <row r="34" spans="1:2" ht="18" x14ac:dyDescent="0.25">
      <c r="A34" s="272" t="s">
        <v>207</v>
      </c>
      <c r="B34" s="272" t="s">
        <v>350</v>
      </c>
    </row>
    <row r="35" spans="1:2" ht="18" x14ac:dyDescent="0.25">
      <c r="A35" s="272" t="s">
        <v>23</v>
      </c>
      <c r="B35" s="272" t="s">
        <v>351</v>
      </c>
    </row>
  </sheetData>
  <sheetProtection algorithmName="SHA-512" hashValue="eJwxysAcTdh888au5y7z4LRR5bcC8E+CosTd5tyMi/+iXnmHzKiR0n+dbmouCEM2klbNK3G8lSUmn1XICk6HLw==" saltValue="q2Ng1JCW922uwyBkuyRmwA==" spinCount="100000" sheet="1" objects="1" scenarios="1"/>
  <mergeCells count="2">
    <mergeCell ref="A2:B2"/>
    <mergeCell ref="A7:B7"/>
  </mergeCells>
  <pageMargins left="0.5" right="0.5" top="1" bottom="1" header="0.5" footer="0.5"/>
  <pageSetup orientation="portrait" horizontalDpi="1200" r:id="rId1"/>
  <headerFooter alignWithMargins="0">
    <oddHeader>&amp;L&amp;"Trebuchet MS,Regular"Scale Plate Calibration&amp;R&amp;"Trebuchet MS,Regular"WAMRF-003, Ver. 7,
9/26/2018</oddHeader>
    <oddFooter>&amp;L&amp;"Trebuchet MS,Regular"&amp;F&amp;R&amp;"Trebuchet MS,Regular"&amp;A Worksheet 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I39"/>
  <sheetViews>
    <sheetView showGridLines="0" tabSelected="1" zoomScaleNormal="100" workbookViewId="0"/>
  </sheetViews>
  <sheetFormatPr defaultColWidth="0" defaultRowHeight="17.649999999999999" customHeight="1" zeroHeight="1" x14ac:dyDescent="0.25"/>
  <cols>
    <col min="1" max="1" width="3.77734375" customWidth="1"/>
    <col min="2" max="8" width="9.21875" customWidth="1"/>
    <col min="9" max="9" width="3.6640625" customWidth="1"/>
    <col min="10" max="16384" width="9.21875" hidden="1"/>
  </cols>
  <sheetData>
    <row r="1" spans="1:1" ht="15.75" x14ac:dyDescent="0.25"/>
    <row r="2" spans="1:1" ht="15.75" x14ac:dyDescent="0.25"/>
    <row r="3" spans="1:1" ht="15.75" x14ac:dyDescent="0.25"/>
    <row r="4" spans="1:1" ht="15.75" x14ac:dyDescent="0.25"/>
    <row r="5" spans="1:1" ht="15.75" x14ac:dyDescent="0.25"/>
    <row r="6" spans="1:1" ht="15.75" x14ac:dyDescent="0.25"/>
    <row r="7" spans="1:1" ht="15.75" x14ac:dyDescent="0.25"/>
    <row r="8" spans="1:1" ht="15.75" x14ac:dyDescent="0.25"/>
    <row r="9" spans="1:1" ht="15.75" x14ac:dyDescent="0.25"/>
    <row r="10" spans="1:1" ht="15.75" x14ac:dyDescent="0.25"/>
    <row r="11" spans="1:1" ht="15.75" x14ac:dyDescent="0.25"/>
    <row r="12" spans="1:1" ht="15.75" x14ac:dyDescent="0.25"/>
    <row r="13" spans="1:1" ht="15.75" x14ac:dyDescent="0.25"/>
    <row r="14" spans="1:1" ht="15.75" x14ac:dyDescent="0.25"/>
    <row r="15" spans="1:1" ht="15.75" x14ac:dyDescent="0.25"/>
    <row r="16" spans="1:1" ht="15.75" x14ac:dyDescent="0.25"/>
    <row r="17" ht="15.75" x14ac:dyDescent="0.25"/>
    <row r="18" ht="15.75" x14ac:dyDescent="0.25"/>
    <row r="19" ht="15.75" x14ac:dyDescent="0.25"/>
    <row r="20" ht="15.75" x14ac:dyDescent="0.25"/>
    <row r="21" ht="15.75" x14ac:dyDescent="0.25"/>
    <row r="22" ht="15.75" x14ac:dyDescent="0.25"/>
    <row r="23" ht="15.75" x14ac:dyDescent="0.25"/>
    <row r="24" ht="15.75" x14ac:dyDescent="0.25"/>
    <row r="25" ht="15.75" x14ac:dyDescent="0.25"/>
    <row r="26" ht="15.75" x14ac:dyDescent="0.25"/>
    <row r="27" ht="15.75" x14ac:dyDescent="0.25"/>
    <row r="28" ht="15.75" x14ac:dyDescent="0.25"/>
    <row r="29" ht="15.75" x14ac:dyDescent="0.25"/>
    <row r="30" ht="15.75" x14ac:dyDescent="0.25"/>
    <row r="31" ht="15.75" x14ac:dyDescent="0.25"/>
    <row r="32" ht="15.75" x14ac:dyDescent="0.25"/>
    <row r="33" ht="15.75" x14ac:dyDescent="0.25"/>
    <row r="34" ht="15.75" x14ac:dyDescent="0.25"/>
    <row r="35" ht="15.75" x14ac:dyDescent="0.25"/>
    <row r="36" ht="15.75" x14ac:dyDescent="0.25"/>
    <row r="37" ht="15.75" x14ac:dyDescent="0.25"/>
    <row r="38" ht="15.75" x14ac:dyDescent="0.25"/>
    <row r="39" ht="15.75" x14ac:dyDescent="0.25"/>
  </sheetData>
  <sheetProtection algorithmName="SHA-512" hashValue="nQDTTTOFkjDpGzGBG7kLB4O+0WcdzdBRRhJec9BEUYUE7CPF21ArQVzqjL+0UNfnRHI+Db22V3uTLrJFYSAGYg==" saltValue="wl4chWYm0kBMoktujIu10Q==" spinCount="100000" sheet="1" objects="1" scenarios="1"/>
  <printOptions horizontalCentered="1"/>
  <pageMargins left="0.5" right="0.5" top="1.25" bottom="0.75" header="0.75" footer="0.5"/>
  <pageSetup orientation="portrait" cellComments="asDisplayed" r:id="rId1"/>
  <headerFooter alignWithMargins="0">
    <oddHeader>&amp;L&amp;"Trebuchet MS,Regular"Scale Plate Calibration&amp;R&amp;"Trebuchet MS,Regular"WAMRF-003, Ver. 7,
9/26/2018</oddHeader>
    <oddFooter>&amp;L&amp;"Trebuchet MS,Regular"&amp;F&amp;R&amp;"Trebuchet MS,Regular"&amp;A Worksheet Page &amp;P of &amp;N</oddFooter>
  </headerFooter>
  <drawing r:id="rId2"/>
  <legacyDrawing r:id="rId3"/>
  <oleObjects>
    <mc:AlternateContent xmlns:mc="http://schemas.openxmlformats.org/markup-compatibility/2006">
      <mc:Choice Requires="x14">
        <oleObject progId="Acrobat Document" shapeId="8197" r:id="rId4">
          <objectPr defaultSize="0" autoPict="0" r:id="rId5">
            <anchor moveWithCells="1">
              <from>
                <xdr:col>1</xdr:col>
                <xdr:colOff>9525</xdr:colOff>
                <xdr:row>0</xdr:row>
                <xdr:rowOff>0</xdr:rowOff>
              </from>
              <to>
                <xdr:col>8</xdr:col>
                <xdr:colOff>0</xdr:colOff>
                <xdr:row>37</xdr:row>
                <xdr:rowOff>142875</xdr:rowOff>
              </to>
            </anchor>
          </objectPr>
        </oleObject>
      </mc:Choice>
      <mc:Fallback>
        <oleObject progId="Acrobat Document" shapeId="81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autoPageBreaks="0" fitToPage="1"/>
  </sheetPr>
  <dimension ref="A1:P91"/>
  <sheetViews>
    <sheetView showGridLines="0" zoomScaleNormal="100" workbookViewId="0">
      <selection activeCell="H14" sqref="H14"/>
    </sheetView>
  </sheetViews>
  <sheetFormatPr defaultColWidth="0" defaultRowHeight="15.75" zeroHeight="1" x14ac:dyDescent="0.25"/>
  <cols>
    <col min="1" max="1" width="8.77734375" style="3" customWidth="1"/>
    <col min="2" max="2" width="1.77734375" style="3" customWidth="1"/>
    <col min="3" max="6" width="8.77734375" style="3" customWidth="1"/>
    <col min="7" max="7" width="1.77734375" style="3" customWidth="1"/>
    <col min="8" max="12" width="8.77734375" style="3" customWidth="1"/>
    <col min="13" max="13" width="3.77734375" style="3" customWidth="1"/>
    <col min="14" max="16" width="0" style="3" hidden="1" customWidth="1"/>
    <col min="17" max="16384" width="8.77734375" style="3" hidden="1"/>
  </cols>
  <sheetData>
    <row r="1" spans="1:16" ht="19.5" thickBot="1" x14ac:dyDescent="0.35">
      <c r="A1" s="1" t="s">
        <v>31</v>
      </c>
      <c r="B1" s="1"/>
      <c r="C1" s="2"/>
      <c r="D1" s="2"/>
      <c r="E1" s="2"/>
      <c r="F1" s="2"/>
      <c r="G1" s="2"/>
      <c r="H1" s="2"/>
      <c r="I1" s="187" t="s">
        <v>246</v>
      </c>
      <c r="J1" s="366"/>
      <c r="K1" s="366"/>
      <c r="L1" s="366"/>
      <c r="M1"/>
      <c r="N1"/>
      <c r="O1"/>
    </row>
    <row r="2" spans="1:16" s="205" customFormat="1" ht="18" x14ac:dyDescent="0.35">
      <c r="A2" s="396" t="s">
        <v>287</v>
      </c>
      <c r="B2" s="396"/>
      <c r="C2" s="396"/>
      <c r="D2" s="396"/>
      <c r="E2" s="396"/>
      <c r="F2" s="396"/>
      <c r="G2" s="396"/>
      <c r="H2" s="396"/>
      <c r="I2" s="396"/>
      <c r="J2" s="396"/>
      <c r="K2" s="396"/>
      <c r="L2" s="396"/>
    </row>
    <row r="3" spans="1:16" s="4" customFormat="1" ht="12.2" customHeight="1" x14ac:dyDescent="0.2">
      <c r="M3" s="5"/>
      <c r="N3" s="5"/>
      <c r="O3" s="5"/>
    </row>
    <row r="4" spans="1:16" ht="18.75" thickBot="1" x14ac:dyDescent="0.3">
      <c r="A4" s="379" t="s">
        <v>0</v>
      </c>
      <c r="B4" s="379"/>
      <c r="C4" s="379"/>
      <c r="D4" s="379"/>
      <c r="E4" s="7"/>
      <c r="I4" s="7"/>
      <c r="J4" s="7"/>
      <c r="K4" s="7"/>
      <c r="L4" s="7"/>
      <c r="M4"/>
      <c r="N4"/>
      <c r="O4"/>
    </row>
    <row r="5" spans="1:16" ht="16.5" customHeight="1" x14ac:dyDescent="0.25">
      <c r="A5" s="388" t="s">
        <v>295</v>
      </c>
      <c r="B5" s="389"/>
      <c r="C5" s="397"/>
      <c r="D5" s="398"/>
      <c r="E5" s="398"/>
      <c r="F5" s="398"/>
      <c r="G5" s="398"/>
      <c r="H5" s="399"/>
      <c r="I5" s="388" t="s">
        <v>299</v>
      </c>
      <c r="J5" s="388"/>
      <c r="K5" s="389"/>
      <c r="L5" s="202"/>
      <c r="M5"/>
      <c r="N5"/>
      <c r="O5"/>
    </row>
    <row r="6" spans="1:16" ht="16.5" x14ac:dyDescent="0.25">
      <c r="A6" s="381" t="s">
        <v>296</v>
      </c>
      <c r="B6" s="382"/>
      <c r="C6" s="400"/>
      <c r="D6" s="401"/>
      <c r="E6" s="401"/>
      <c r="F6" s="401"/>
      <c r="G6" s="401"/>
      <c r="H6" s="402"/>
      <c r="I6" s="381" t="s">
        <v>300</v>
      </c>
      <c r="J6" s="447"/>
      <c r="K6" s="448"/>
      <c r="L6" s="238"/>
      <c r="M6"/>
      <c r="N6"/>
      <c r="O6"/>
    </row>
    <row r="7" spans="1:16" ht="16.5" x14ac:dyDescent="0.25">
      <c r="A7" s="381" t="s">
        <v>297</v>
      </c>
      <c r="B7" s="382"/>
      <c r="C7" s="400"/>
      <c r="D7" s="401"/>
      <c r="E7" s="401"/>
      <c r="F7" s="401"/>
      <c r="G7" s="401"/>
      <c r="H7" s="402"/>
      <c r="I7" s="251" t="s">
        <v>301</v>
      </c>
      <c r="J7" s="372"/>
      <c r="K7" s="372"/>
      <c r="L7" s="372"/>
      <c r="M7"/>
      <c r="N7"/>
      <c r="O7"/>
    </row>
    <row r="8" spans="1:16" ht="17.649999999999999" customHeight="1" x14ac:dyDescent="0.25">
      <c r="A8" s="381" t="s">
        <v>298</v>
      </c>
      <c r="B8" s="382"/>
      <c r="C8" s="400"/>
      <c r="D8" s="401"/>
      <c r="E8" s="401"/>
      <c r="F8" s="401"/>
      <c r="G8" s="401"/>
      <c r="H8" s="402"/>
      <c r="I8" s="267" t="s">
        <v>302</v>
      </c>
      <c r="J8" s="372"/>
      <c r="K8" s="372"/>
      <c r="L8" s="372"/>
    </row>
    <row r="9" spans="1:16" s="4" customFormat="1" ht="12.2" customHeight="1" x14ac:dyDescent="0.2">
      <c r="M9" s="5"/>
      <c r="N9" s="5"/>
      <c r="O9" s="5"/>
    </row>
    <row r="10" spans="1:16" ht="16.5" customHeight="1" thickBot="1" x14ac:dyDescent="0.3">
      <c r="A10" s="6" t="s">
        <v>1</v>
      </c>
      <c r="B10" s="249"/>
      <c r="C10" s="8"/>
      <c r="D10" s="8"/>
      <c r="E10" s="8"/>
      <c r="K10" s="8"/>
      <c r="L10" s="8"/>
      <c r="N10"/>
      <c r="O10"/>
      <c r="P10"/>
    </row>
    <row r="11" spans="1:16" ht="16.5" customHeight="1" x14ac:dyDescent="0.25">
      <c r="A11" s="393" t="s">
        <v>303</v>
      </c>
      <c r="B11" s="393"/>
      <c r="C11" s="394"/>
      <c r="D11" s="390"/>
      <c r="E11" s="391"/>
      <c r="F11" s="391"/>
      <c r="G11" s="391"/>
      <c r="H11" s="392"/>
      <c r="I11" s="456" t="s">
        <v>308</v>
      </c>
      <c r="J11" s="457"/>
      <c r="K11" s="403"/>
      <c r="L11" s="404"/>
      <c r="N11"/>
      <c r="O11"/>
      <c r="P11"/>
    </row>
    <row r="12" spans="1:16" ht="16.5" customHeight="1" x14ac:dyDescent="0.25">
      <c r="A12" s="411" t="s">
        <v>304</v>
      </c>
      <c r="B12" s="411"/>
      <c r="C12" s="324"/>
      <c r="D12" s="405"/>
      <c r="E12" s="412"/>
      <c r="F12" s="412"/>
      <c r="G12" s="412"/>
      <c r="H12" s="413"/>
      <c r="I12" s="411" t="s">
        <v>309</v>
      </c>
      <c r="J12" s="411"/>
      <c r="K12" s="405"/>
      <c r="L12" s="406"/>
      <c r="N12"/>
      <c r="O12"/>
      <c r="P12"/>
    </row>
    <row r="13" spans="1:16" ht="16.5" customHeight="1" x14ac:dyDescent="0.25">
      <c r="A13" s="411" t="s">
        <v>305</v>
      </c>
      <c r="B13" s="411"/>
      <c r="C13" s="324"/>
      <c r="D13" s="405"/>
      <c r="E13" s="412"/>
      <c r="F13" s="412"/>
      <c r="G13" s="412"/>
      <c r="H13" s="413"/>
      <c r="I13" s="414" t="s">
        <v>310</v>
      </c>
      <c r="J13" s="414"/>
      <c r="K13" s="454"/>
      <c r="L13" s="455"/>
      <c r="N13"/>
      <c r="O13"/>
      <c r="P13"/>
    </row>
    <row r="14" spans="1:16" ht="16.5" customHeight="1" x14ac:dyDescent="0.25">
      <c r="A14" s="380" t="s">
        <v>306</v>
      </c>
      <c r="B14" s="381"/>
      <c r="C14" s="382"/>
      <c r="D14" s="188"/>
      <c r="E14" s="380" t="s">
        <v>311</v>
      </c>
      <c r="F14" s="381"/>
      <c r="G14" s="382"/>
      <c r="H14" s="264"/>
      <c r="I14" s="383" t="str">
        <f>IF(NomVol="","",IF(A16="FALSE","Outside Nominal Volume Range Limits",IF(A16="TRUE","Meets Nominal Volume Range Limits")))</f>
        <v/>
      </c>
      <c r="J14" s="383"/>
      <c r="K14" s="383"/>
      <c r="L14" s="384"/>
      <c r="N14"/>
      <c r="O14"/>
      <c r="P14"/>
    </row>
    <row r="15" spans="1:16" ht="16.5" customHeight="1" x14ac:dyDescent="0.25">
      <c r="A15" s="380" t="s">
        <v>307</v>
      </c>
      <c r="B15" s="381"/>
      <c r="C15" s="382"/>
      <c r="D15" s="273"/>
      <c r="E15" s="385" t="s">
        <v>312</v>
      </c>
      <c r="F15" s="386"/>
      <c r="G15" s="386"/>
      <c r="H15" s="386"/>
      <c r="I15" s="269"/>
      <c r="J15" s="380" t="s">
        <v>313</v>
      </c>
      <c r="K15" s="381"/>
      <c r="L15" s="269"/>
      <c r="N15"/>
      <c r="O15"/>
      <c r="P15"/>
    </row>
    <row r="16" spans="1:16" ht="16.5" customHeight="1" x14ac:dyDescent="0.25">
      <c r="A16" s="235" t="str">
        <f>IF(NomVol="","",IF(AND(Spec="NIST HB 105-3",NomVolUnit="gal",OR(NomVol&lt;1,NomVol&gt;1500)),"FALSE",IF(AND(Spec="NIST HB 105-3",NomVolUnit="L",OR(NomVol&lt;5,NomVol&gt;5000)),"FALSE",IF(AND(Spec="NIST HB 105-4",NomVolUnit="gal",OR(NomVol&lt;20,NomVol&gt;500)),"FALSE",IF(AND(Spec="NIST HB 105-4",NomVolUnit="L",OR(NomVol&lt;100,NomVol&gt;2000)),"FALSE","TRUE")))))</f>
        <v/>
      </c>
      <c r="B16" s="260"/>
      <c r="C16" s="381" t="str">
        <f>"Total Neck Scale Plate Volume ("&amp;ScaleGradUnit&amp;")"</f>
        <v>Total Neck Scale Plate Volume ()</v>
      </c>
      <c r="D16" s="381"/>
      <c r="E16" s="381"/>
      <c r="F16" s="381"/>
      <c r="G16" s="245" t="s">
        <v>314</v>
      </c>
      <c r="H16" s="270"/>
      <c r="I16" s="415" t="str">
        <f>IF(OR(H16="",A16="False"),"",IF(AND(H16&lt;A17,Spec="NIST HB 105-3"),"Does Not Meet NIST HB 105-3 Specifications",IF(AND(H16&gt;=A17,Spec="NIST HB 105-3"),"Meets NIST HB 105-3 Specifications",IF(AND(H16&lt;A17,Spec="NIST HB 105-4"),"Does Not Meet NIST HB 105-4 Specifications",IF(AND(H16&gt;=A17,Spec="NIST HB 105-4"),"Meets NIST HB 105-4 Specifications")))))</f>
        <v/>
      </c>
      <c r="J16" s="416"/>
      <c r="K16" s="416"/>
      <c r="L16" s="417"/>
    </row>
    <row r="17" spans="1:16" ht="16.5" customHeight="1" x14ac:dyDescent="0.25">
      <c r="A17" s="236" t="b">
        <f>IF(AND(Spec="NIST HB 105-3",ScaleGradUnit="gal"),VLOOKUP(NomVol,Prover_gal,6,TRUE),IF(AND(Spec="NIST HB 105-3",ScaleGradUnit="in³"),VLOOKUP(NomVol,Prover_gal,7,TRUE),IF(AND(Spec="NIST HB 105-3",ScaleGradUnit="L"),VLOOKUP(NomVol,Prover_L,5,TRUE)/1000,IF(AND(Spec="NIST HB 105-3",ScaleGradUnit="mL"),VLOOKUP(NomVol,Prover_L,5,TRUE),IF(AND(Spec="NIST HB 105-4",ScaleGradUnit="gal"),VLOOKUP(NomVol,LPG_gal,5,TRUE),IF(AND(Spec="NIST HB 105-4",ScaleGradUnit="in³"),VLOOKUP(NomVol,LPG_gal,5,TRUE)*231,IF(AND(Spec="NIST HB 105-4",ScaleGradUnit="L"),VLOOKUP(NomVol,LPG_L,4,TRUE),IF(AND(Spec="NIST HB 105-4",ScaleGradUnit="mL"),VLOOKUP(NomVol,LPG_L,4,TRUE)*1000))))))))</f>
        <v>0</v>
      </c>
      <c r="B17" s="261"/>
      <c r="C17" s="381" t="str">
        <f>IF(Spec="","Graduation / Subdivision",IF(Spec="NIST HB 105-3","Neck Scale Subdivision Value ("&amp;ScaleGradUnit&amp;")","Neck Scale Graduation Value ("&amp;ScaleGradUnit&amp;")"))</f>
        <v>Graduation / Subdivision</v>
      </c>
      <c r="D17" s="381"/>
      <c r="E17" s="381"/>
      <c r="F17" s="381"/>
      <c r="G17" s="245" t="s">
        <v>314</v>
      </c>
      <c r="H17" s="271"/>
      <c r="I17" s="415" t="str">
        <f>IF(OR(H17="",A16="False"),"",IF(AND(H17&gt;A18,Spec="NIST HB 105-3"),"Does Not Meet NIST HB 105-3 Specifications",IF(AND(H17&lt;=A18,Spec="NIST HB 105-3"),"Meets NIST HB 105-3 Specifications",IF(AND(H17&gt;A18,Spec="NIST HB 105-4"),"Does Not Meet NIST HB 105-4 Specifications",IF(AND(H17&lt;=A18,Spec="NIST HB 105-4"),"Meets NIST HB 105-4 Specifications")))))</f>
        <v/>
      </c>
      <c r="J17" s="416"/>
      <c r="K17" s="416"/>
      <c r="L17" s="417"/>
      <c r="N17"/>
      <c r="O17"/>
      <c r="P17"/>
    </row>
    <row r="18" spans="1:16" customFormat="1" ht="16.5" x14ac:dyDescent="0.25">
      <c r="A18" s="236" t="b">
        <f>IF(AND(Spec="NIST HB 105-3",ScaleGradUnit="gal"),VLOOKUP(NomVol,Prover_gal,4,TRUE),IF(AND(Spec="NIST HB 105-3",ScaleGradUnit="in³"),VLOOKUP(NomVol,Prover_gal,5,TRUE),IF(AND(Spec="NIST HB 105-3",ScaleGradUnit="L"),VLOOKUP(NomVol,Prover_L,4,TRUE)/1000,IF(AND(Spec="NIST HB 105-3",ScaleGradUnit="mL"),VLOOKUP(NomVol,Prover_L,4,TRUE),IF(AND(Spec="NIST HB 105-4",ScaleGradUnit="gal"),VLOOKUP(NomVol,LPG_gal,3,TRUE),IF(AND(Spec="NIST HB 105-4",ScaleGradUnit="in³"),VLOOKUP(NomVol,LPG_gal,4,TRUE),IF(AND(Spec="NIST HB 105-4",ScaleGradUnit="L"),VLOOKUP(NomVol,LPG_L,3,TRUE)/1000,IF(AND(Spec="NIST HB 105-4",ScaleGradUnit="mL"),VLOOKUP(NomVol,LPG_L,3,TRUE)))))))))</f>
        <v>0</v>
      </c>
      <c r="B18" s="261"/>
      <c r="C18" s="381" t="s">
        <v>255</v>
      </c>
      <c r="D18" s="381"/>
      <c r="E18" s="381"/>
      <c r="F18" s="381"/>
      <c r="G18" s="245" t="s">
        <v>314</v>
      </c>
      <c r="H18" s="256"/>
      <c r="I18" s="415" t="str">
        <f>IF(OR(H18="",A16="False"),"",IF(AND(H18&gt;A19,Spec="NIST HB 105-3"),"Does Not Meet NIST HB 105-3 Specifications",IF(AND(H18&lt;=A19,Spec="NIST HB 105-3"),"Meets NIST HB 105-3 Specifications",IF(AND(H18&gt;A19,Spec="NIST HB 105-4"),"Does Not Meet NIST HB 105-4 Specifications",IF(AND(H18&lt;=A19,Spec="NIST HB 105-4"),"Meets NIST HB 105-4 Specifications")))))</f>
        <v/>
      </c>
      <c r="J18" s="416"/>
      <c r="K18" s="416"/>
      <c r="L18" s="417"/>
      <c r="M18" s="3"/>
    </row>
    <row r="19" spans="1:16" customFormat="1" ht="16.5" x14ac:dyDescent="0.25">
      <c r="A19" s="236" t="b">
        <f>IF(AND(Spec="NIST HB 105-3",NomVolUnit="gal"),VLOOKUP(NomVol,Prover_gal,2,TRUE),IF(AND(Spec="NIST HB 105-3",NomVolUnit="L"),VLOOKUP(NomVol,Prover_L,2,TRUE),IF(AND(Spec="NIST HB 105-4",NomVolUnit="gal"),VLOOKUP(NomVol,LPG_gal,2,TRUE),IF(AND(Spec="NIST HB 105-4",NomVolUnit="L"),VLOOKUP(NomVol,LPG_L,2,TRUE)))))</f>
        <v>0</v>
      </c>
      <c r="B19" s="261"/>
      <c r="C19" s="381" t="s">
        <v>187</v>
      </c>
      <c r="D19" s="381"/>
      <c r="E19" s="381"/>
      <c r="F19" s="381"/>
      <c r="G19" s="245" t="s">
        <v>314</v>
      </c>
      <c r="H19" s="256"/>
      <c r="I19" s="415" t="str">
        <f>IF(OR(H19="",A16="False"),"",IF(Spec="NIST HB 105-4","Not Applicable for NIST HB 105-4 for LPG Provers",IF(H19&gt;A20,"Does Not Meet NIST HB 105-3 Specifications","Meets NIST HB 105-3 Specifications")))</f>
        <v/>
      </c>
      <c r="J19" s="416"/>
      <c r="K19" s="416"/>
      <c r="L19" s="417"/>
      <c r="M19" s="3"/>
      <c r="N19" s="3"/>
    </row>
    <row r="20" spans="1:16" customFormat="1" ht="16.5" x14ac:dyDescent="0.25">
      <c r="A20" s="237" t="e">
        <f>IF(AND(Spec="NIST HB 105-3",NomVolUnit="gal"),VLOOKUP(NomVol,Prover_gal,3,TRUE),VLOOKUP(NomVol,Prover_L,3,TRUE))</f>
        <v>#N/A</v>
      </c>
      <c r="B20" s="262"/>
      <c r="C20" s="381" t="str">
        <f>IF(Spec="","Graduation / Subdivision Line Width",IF(Spec="NIST HB 105-3","Neck Scale Subdivision Line Width (mm)","Neck Scale Graduation Line Width (mm)"))</f>
        <v>Graduation / Subdivision Line Width</v>
      </c>
      <c r="D20" s="381"/>
      <c r="E20" s="381"/>
      <c r="F20" s="381"/>
      <c r="G20" s="245" t="s">
        <v>314</v>
      </c>
      <c r="H20" s="256"/>
      <c r="I20" s="415" t="str">
        <f>IF(OR(H20="",A16="False"),"",IF(AND(H20&gt;=0.4,H20&lt;=0.6),"Meets "&amp;Spec&amp;" Specifications",IF(OR(H20&lt;0.4,H20&gt;0.6),"Does Not Meet "&amp;Spec&amp;" Specifications")))</f>
        <v/>
      </c>
      <c r="J20" s="416"/>
      <c r="K20" s="416"/>
      <c r="L20" s="417"/>
      <c r="M20" s="3"/>
    </row>
    <row r="21" spans="1:16" ht="16.5" customHeight="1" thickBot="1" x14ac:dyDescent="0.3">
      <c r="A21" s="451" t="s">
        <v>315</v>
      </c>
      <c r="B21" s="452"/>
      <c r="C21" s="452"/>
      <c r="D21" s="452"/>
      <c r="E21" s="452"/>
      <c r="F21" s="452"/>
      <c r="G21" s="452"/>
      <c r="H21" s="452"/>
      <c r="I21" s="452"/>
      <c r="J21" s="452"/>
      <c r="K21" s="453"/>
      <c r="L21" s="212"/>
      <c r="N21"/>
      <c r="O21"/>
      <c r="P21"/>
    </row>
    <row r="22" spans="1:16" ht="16.5" customHeight="1" x14ac:dyDescent="0.35">
      <c r="A22" s="373" t="s">
        <v>194</v>
      </c>
      <c r="B22" s="374"/>
      <c r="C22" s="374"/>
      <c r="D22" s="374"/>
      <c r="E22" s="374"/>
      <c r="F22" s="374"/>
      <c r="G22" s="374"/>
      <c r="H22" s="374"/>
      <c r="I22" s="374"/>
      <c r="J22" s="374"/>
      <c r="K22" s="374"/>
      <c r="L22" s="375"/>
      <c r="N22" s="205"/>
      <c r="O22"/>
      <c r="P22"/>
    </row>
    <row r="23" spans="1:16" ht="16.5" customHeight="1" thickBot="1" x14ac:dyDescent="0.4">
      <c r="A23" s="368" t="str">
        <f>IF(L21="","","Best Standard to use = "&amp;ROUND(H16/L21,4-1-INT(LOG10(H16/L21)))&amp;" "&amp;ScaleGradUnit)</f>
        <v/>
      </c>
      <c r="B23" s="369"/>
      <c r="C23" s="369"/>
      <c r="D23" s="369"/>
      <c r="E23" s="369"/>
      <c r="F23" s="369"/>
      <c r="G23" s="370"/>
      <c r="H23" s="368" t="str">
        <f>IF(L21="","","Best Scale Starting Point = "&amp;IF(ScaleGradUnit="in³",(NomVol*231-L21/2*H16/L21)-NomVol*231,IF(ScaleGradUnit="mL",(NomVol*1000-L21/2*H16/L21)-NomVol*1000,(NomVol-L21/2*H16/L21)-NomVol))&amp;" "&amp;ScaleGradUnit)</f>
        <v/>
      </c>
      <c r="I23" s="369"/>
      <c r="J23" s="369"/>
      <c r="K23" s="369"/>
      <c r="L23" s="370"/>
      <c r="N23" s="205"/>
      <c r="O23"/>
      <c r="P23"/>
    </row>
    <row r="24" spans="1:16" ht="16.5" customHeight="1" x14ac:dyDescent="0.25">
      <c r="A24" s="387" t="s">
        <v>352</v>
      </c>
      <c r="B24" s="387"/>
      <c r="C24" s="387"/>
      <c r="D24" s="395"/>
      <c r="E24" s="395"/>
      <c r="F24" s="387" t="s">
        <v>316</v>
      </c>
      <c r="G24" s="387"/>
      <c r="H24" s="387"/>
      <c r="I24" s="387"/>
      <c r="J24" s="372"/>
      <c r="K24" s="372"/>
      <c r="L24" s="372"/>
      <c r="N24"/>
      <c r="O24"/>
      <c r="P24"/>
    </row>
    <row r="25" spans="1:16" s="4" customFormat="1" ht="12.2" customHeight="1" x14ac:dyDescent="0.2">
      <c r="M25" s="5"/>
      <c r="N25" s="5"/>
      <c r="O25" s="5"/>
    </row>
    <row r="26" spans="1:16" s="192" customFormat="1" ht="18.75" thickBot="1" x14ac:dyDescent="0.4">
      <c r="A26" s="189" t="s">
        <v>294</v>
      </c>
      <c r="B26" s="189"/>
      <c r="C26" s="190"/>
      <c r="D26" s="190"/>
      <c r="E26" s="190"/>
      <c r="F26" s="190"/>
      <c r="G26" s="190"/>
      <c r="H26" s="190"/>
      <c r="I26" s="190"/>
      <c r="J26" s="193"/>
      <c r="K26" s="194"/>
      <c r="L26" s="194"/>
      <c r="M26"/>
      <c r="N26" s="191"/>
    </row>
    <row r="27" spans="1:16" s="192" customFormat="1" ht="15.75" customHeight="1" x14ac:dyDescent="0.25">
      <c r="A27" s="442" t="s">
        <v>317</v>
      </c>
      <c r="B27" s="443"/>
      <c r="C27" s="252"/>
      <c r="D27" s="248" t="s">
        <v>303</v>
      </c>
      <c r="E27" s="441"/>
      <c r="F27" s="441"/>
      <c r="G27" s="441"/>
      <c r="H27" s="441"/>
      <c r="I27" s="441"/>
      <c r="J27" s="268" t="s">
        <v>318</v>
      </c>
      <c r="K27" s="441"/>
      <c r="L27" s="441"/>
    </row>
    <row r="28" spans="1:16" s="192" customFormat="1" ht="15.75" customHeight="1" thickBot="1" x14ac:dyDescent="0.3">
      <c r="A28" s="444" t="s">
        <v>319</v>
      </c>
      <c r="B28" s="445"/>
      <c r="C28" s="371"/>
      <c r="D28" s="371"/>
      <c r="E28" s="371"/>
      <c r="F28" s="446" t="s">
        <v>320</v>
      </c>
      <c r="G28" s="446"/>
      <c r="H28" s="367"/>
      <c r="I28" s="367"/>
      <c r="J28" s="253" t="s">
        <v>321</v>
      </c>
      <c r="K28" s="367"/>
      <c r="L28" s="367"/>
    </row>
    <row r="29" spans="1:16" s="192" customFormat="1" ht="18.75" thickBot="1" x14ac:dyDescent="0.4">
      <c r="A29" s="376" t="s">
        <v>214</v>
      </c>
      <c r="B29" s="377"/>
      <c r="C29" s="377"/>
      <c r="D29" s="377"/>
      <c r="E29" s="377"/>
      <c r="F29" s="377"/>
      <c r="G29" s="377"/>
      <c r="H29" s="377"/>
      <c r="I29" s="377"/>
      <c r="J29" s="377"/>
      <c r="K29" s="377"/>
      <c r="L29" s="378"/>
      <c r="M29"/>
      <c r="N29" s="191"/>
    </row>
    <row r="30" spans="1:16" s="192" customFormat="1" x14ac:dyDescent="0.25">
      <c r="A30" s="330" t="s">
        <v>322</v>
      </c>
      <c r="B30" s="331"/>
      <c r="C30" s="255"/>
      <c r="D30" s="330" t="str">
        <f>"Delivered Volume @"&amp;I15&amp;" "&amp;L15&amp;IF(NomVolUnit="L","(L)"," (gal)")</f>
        <v>Delivered Volume @  (gal)</v>
      </c>
      <c r="E30" s="449"/>
      <c r="F30" s="449"/>
      <c r="G30" s="257" t="s">
        <v>314</v>
      </c>
      <c r="H30" s="314"/>
      <c r="I30" s="315"/>
      <c r="J30" s="450" t="s">
        <v>323</v>
      </c>
      <c r="K30" s="450"/>
      <c r="L30" s="250"/>
      <c r="M30"/>
      <c r="N30" s="191"/>
    </row>
    <row r="31" spans="1:16" s="192" customFormat="1" x14ac:dyDescent="0.25">
      <c r="A31" s="258" t="str">
        <f>IF(NomVolUnit="L","Unc. (L)","Unc. (gal)")</f>
        <v>Unc. (gal)</v>
      </c>
      <c r="B31" s="263" t="s">
        <v>314</v>
      </c>
      <c r="C31" s="243"/>
      <c r="D31" s="259" t="s">
        <v>324</v>
      </c>
      <c r="E31" s="265"/>
      <c r="F31" s="325" t="s">
        <v>325</v>
      </c>
      <c r="G31" s="326"/>
      <c r="H31" s="243"/>
      <c r="I31" s="325" t="str">
        <f>IF(NomVolUnit="L","Total Volume (L):","Total Volume (gal):")</f>
        <v>Total Volume (gal):</v>
      </c>
      <c r="J31" s="327"/>
      <c r="K31" s="328" t="str">
        <f>IF(Drops="","",StdVol*Drops)</f>
        <v/>
      </c>
      <c r="L31" s="329"/>
      <c r="M31"/>
      <c r="N31" s="191"/>
    </row>
    <row r="32" spans="1:16" s="204" customFormat="1" x14ac:dyDescent="0.25">
      <c r="A32" s="324" t="s">
        <v>326</v>
      </c>
      <c r="B32" s="324"/>
      <c r="C32" s="324"/>
      <c r="D32" s="266"/>
      <c r="E32" s="324" t="s">
        <v>327</v>
      </c>
      <c r="F32" s="324"/>
      <c r="G32" s="324"/>
      <c r="H32" s="266"/>
      <c r="I32" s="324" t="s">
        <v>328</v>
      </c>
      <c r="J32" s="324"/>
      <c r="K32" s="324"/>
      <c r="L32" s="266"/>
      <c r="N32" s="254"/>
      <c r="O32" s="254"/>
      <c r="P32" s="254"/>
    </row>
    <row r="33" spans="1:15" s="4" customFormat="1" ht="12.2" customHeight="1" x14ac:dyDescent="0.2">
      <c r="H33" s="9"/>
      <c r="I33" s="9"/>
      <c r="M33" s="5"/>
      <c r="N33" s="5"/>
      <c r="O33" s="5"/>
    </row>
    <row r="34" spans="1:15" ht="18.75" thickBot="1" x14ac:dyDescent="0.3">
      <c r="A34" s="29" t="s">
        <v>213</v>
      </c>
      <c r="B34" s="29"/>
      <c r="C34" s="8"/>
      <c r="D34" s="8"/>
      <c r="E34" s="8"/>
      <c r="F34" s="8"/>
      <c r="G34" s="8"/>
      <c r="H34" s="10"/>
      <c r="I34" s="10"/>
      <c r="J34" s="10"/>
      <c r="K34" s="10"/>
      <c r="L34" s="10"/>
    </row>
    <row r="35" spans="1:15" ht="51" customHeight="1" x14ac:dyDescent="0.25">
      <c r="A35" s="422" t="str">
        <f>IF(Spec="","",IF(Spec="NIST HB 105-3","NIST HB 105-3 Neck Calibration Criteria: The volume represented by each scale mark over the entire range of the scale plate must be accurate within the maximum permissible error of 0.05 % of the nominal capacity.","NIST HB 105-4 Neck Calibration Criteria: The volume represented by each scale mark over the entire range of the scale plate must be accurate within the maximum permissible error of 0.2 % of the nominal capacity."))</f>
        <v/>
      </c>
      <c r="B35" s="423"/>
      <c r="C35" s="423"/>
      <c r="D35" s="423"/>
      <c r="E35" s="423"/>
      <c r="F35" s="423"/>
      <c r="G35" s="423"/>
      <c r="H35" s="423"/>
      <c r="I35" s="423"/>
      <c r="J35" s="423"/>
      <c r="K35" s="423"/>
      <c r="L35" s="424"/>
    </row>
    <row r="36" spans="1:15" ht="39.75" customHeight="1" x14ac:dyDescent="0.25">
      <c r="A36" s="340" t="str">
        <f>IF(Spec="","",IF(Spec="NIST HB 105-3","NIST HB 105-3 Neck Uniformity Criteria: The neck scale capacity error must not exceed the value of one division plus the uncertainty of the neck scale calibration.","NIST HB 105-4 Neck Uniformity Criteria: The neck scale capacity error must not exceed the value of two divisions plus the uncertainty of the neck scale calibration."))</f>
        <v/>
      </c>
      <c r="B36" s="341"/>
      <c r="C36" s="341"/>
      <c r="D36" s="341"/>
      <c r="E36" s="341"/>
      <c r="F36" s="341"/>
      <c r="G36" s="341"/>
      <c r="H36" s="341"/>
      <c r="I36" s="341"/>
      <c r="J36" s="341"/>
      <c r="K36" s="341"/>
      <c r="L36" s="342"/>
    </row>
    <row r="37" spans="1:15" s="4" customFormat="1" ht="12.2" customHeight="1" x14ac:dyDescent="0.2">
      <c r="H37" s="9"/>
      <c r="I37" s="9"/>
      <c r="M37" s="5"/>
      <c r="N37" s="5"/>
      <c r="O37" s="5"/>
    </row>
    <row r="38" spans="1:15" ht="18.75" thickBot="1" x14ac:dyDescent="0.3">
      <c r="A38" s="29" t="s">
        <v>233</v>
      </c>
      <c r="B38" s="29"/>
      <c r="C38" s="8"/>
      <c r="D38" s="8"/>
      <c r="E38" s="8"/>
      <c r="F38" s="8"/>
      <c r="G38" s="8"/>
      <c r="H38" s="10"/>
      <c r="I38" s="10"/>
      <c r="J38" s="10"/>
      <c r="K38" s="10"/>
      <c r="L38" s="10"/>
    </row>
    <row r="39" spans="1:15" x14ac:dyDescent="0.25">
      <c r="A39" s="319" t="s">
        <v>192</v>
      </c>
      <c r="B39" s="320"/>
      <c r="C39" s="320"/>
      <c r="D39" s="320"/>
      <c r="E39" s="320"/>
      <c r="F39" s="320"/>
      <c r="G39" s="320"/>
      <c r="H39" s="320"/>
      <c r="I39" s="320"/>
      <c r="J39" s="320"/>
      <c r="K39" s="320"/>
      <c r="L39" s="321"/>
    </row>
    <row r="40" spans="1:15" ht="17.45" customHeight="1" x14ac:dyDescent="0.35">
      <c r="A40" s="316" t="s">
        <v>264</v>
      </c>
      <c r="B40" s="317"/>
      <c r="C40" s="317"/>
      <c r="D40" s="317"/>
      <c r="E40" s="317"/>
      <c r="F40" s="317"/>
      <c r="G40" s="317"/>
      <c r="H40" s="317"/>
      <c r="I40" s="317"/>
      <c r="J40" s="317"/>
      <c r="K40" s="317"/>
      <c r="L40" s="318"/>
    </row>
    <row r="41" spans="1:15" ht="49.7" customHeight="1" x14ac:dyDescent="0.25">
      <c r="A41" s="429" t="s">
        <v>3</v>
      </c>
      <c r="B41" s="430"/>
      <c r="C41" s="431"/>
      <c r="D41" s="227" t="str">
        <f>IF(ScaleGradUnit="L","Volume Added (L)",IF(ScaleGradUnit="mL","Volume Added (mL)",IF(ScaleGradUnit="gal","Volume Added (gal)","Volume Added (in³)")))</f>
        <v>Volume Added (in³)</v>
      </c>
      <c r="E41" s="227" t="str">
        <f>IF(ScaleGradUnit="L","Scale Reading (sr) (L)",IF(ScaleGradUnit="mL","Scale Reading (sr) (mL)",IF(ScaleGradUnit="gal","Scale Reading (sr) (gal)","Scale Reading (sr) (in³)")))</f>
        <v>Scale Reading (sr) (in³)</v>
      </c>
      <c r="F41" s="425" t="str">
        <f>IF(ScaleGradUnit="L","Scale Deviation (Δsr) (L)",IF(ScaleGradUnit="mL","Scale Deviation (Δsr) (mL)",IF(ScaleGradUnit="gal","Scale Deviation (Δsr) (gal)","Scale Deviation (Δsr) (in³)")))</f>
        <v>Scale Deviation (Δsr) (in³)</v>
      </c>
      <c r="G41" s="426"/>
      <c r="H41" s="432" t="str">
        <f>"Neck Calibration Tolerance ± "&amp;NC_Tol&amp;" "&amp;ScaleGradUnit</f>
        <v xml:space="preserve">Neck Calibration Tolerance ±  </v>
      </c>
      <c r="I41" s="433"/>
      <c r="J41" s="227" t="str">
        <f>IF(ScaleGradUnit="L","Scale Uniformity (Δsu) (L)",IF(ScaleGradUnit="mL","Scale Uniformity (Δsu) (mL)",IF(ScaleGradUnit="gal","Scale Uniformity (Δsu) (gal)","Scale Uniformity (Δsu) (in³)")))</f>
        <v>Scale Uniformity (Δsu) (in³)</v>
      </c>
      <c r="K41" s="432" t="str">
        <f>"Neck Uniformity Tolerance ± "&amp;NU_Tol&amp;" "&amp;ScaleGradUnit</f>
        <v xml:space="preserve">Neck Uniformity Tolerance ±  </v>
      </c>
      <c r="L41" s="433"/>
    </row>
    <row r="42" spans="1:15" s="204" customFormat="1" ht="16.5" x14ac:dyDescent="0.25">
      <c r="A42" s="418" t="s">
        <v>289</v>
      </c>
      <c r="B42" s="419"/>
      <c r="C42" s="419"/>
      <c r="D42" s="420"/>
      <c r="E42" s="231"/>
      <c r="F42" s="427"/>
      <c r="G42" s="428"/>
      <c r="H42" s="421" t="str">
        <f>IF(Spec="","",IF(AND(ScaleGradUnit="in³",Spec="NIST HB 105-3"),NomVol*231*0.05%,IF(AND(ScaleGradUnit="mL",Spec="NIST HB 105-3"),NomVol*1000*0.05%,IF(AND(ScaleGradUnit="in³",Spec="NIST HB 105-4"),NomVol*231*0.2%,IF(AND(ScaleGradUnit="mL",Spec="NIST HB 105-4"),NomVol*1000*0.2%,IF(AND(OR(ScaleGradUnit="gal",ScaleGradUnit="L"),Spec="NIST HB 105-3"),NomVol*0.05%,NomVol*0.2%))))))</f>
        <v/>
      </c>
      <c r="I42" s="421"/>
      <c r="J42" s="203"/>
      <c r="K42" s="322" t="str">
        <f>IF('Uncertainty Analysis'!K69="","",IF(AND(Spec="NIST HB 105-3",OR(ScaleGradUnit="gal",ScaleGradUnit="L")),$H$17+'Uncertainty Analysis'!K69,IF(AND(Spec="NIST HB 105-3",OR(ScaleGradUnit="in³",ScaleGradUnit="mL")),$H$17+'Uncertainty Analysis'!K70,IF(AND(Spec="NIST HB 105-4",OR(ScaleGradUnit="gal",ScaleGradUnit="L")),$H$17*2+'Uncertainty Analysis'!K69,IF(AND(Spec="NIST HB 105-4",OR(ScaleGradUnit="in³",ScaleGradUnit="mL")),$H$17*2+'Uncertainty Analysis'!K70,"")))))</f>
        <v/>
      </c>
      <c r="L42" s="323"/>
    </row>
    <row r="43" spans="1:15" ht="15.75" customHeight="1" x14ac:dyDescent="0.25">
      <c r="A43" s="312" t="s">
        <v>4</v>
      </c>
      <c r="B43" s="313"/>
      <c r="C43" s="246" t="s">
        <v>288</v>
      </c>
      <c r="D43" s="230"/>
      <c r="E43" s="231"/>
      <c r="F43" s="409" t="str">
        <f>IF(E43="","",ROUND((E43-(sr_i+SUM($D$43:D43))),4-1-INT(LOG10($H$17))))</f>
        <v/>
      </c>
      <c r="G43" s="410"/>
      <c r="H43" s="338" t="str">
        <f t="shared" ref="H43:H48" si="0">IF(E43="","",IF(ABS(F43)&lt;NC_Tol,"Passed","Failed"))</f>
        <v/>
      </c>
      <c r="I43" s="338"/>
      <c r="J43" s="232" t="str">
        <f>IF(E43="","",E43-E42)</f>
        <v/>
      </c>
      <c r="K43" s="349" t="e">
        <f>IF(AND(L21=6,E48=""),"",IF(AND(L21=4,E46=""),"",IF(AND(L21=6,(MAX(J43:J48)-MIN(J43:J48))/NU_Tol&gt;1),"Uniformity Test Failed",IF(AND(L21=4,(MAX(J43:J46)-MIN(J43:J46))/NU_Tol&gt;1),"Neck Uniformity Tolerance Test Failed","Neck Uniformity Tolerance Test Passed"))))</f>
        <v>#VALUE!</v>
      </c>
      <c r="L43" s="350"/>
    </row>
    <row r="44" spans="1:15" ht="15.75" customHeight="1" x14ac:dyDescent="0.25">
      <c r="A44" s="312" t="s">
        <v>5</v>
      </c>
      <c r="B44" s="313"/>
      <c r="C44" s="246" t="s">
        <v>288</v>
      </c>
      <c r="D44" s="230"/>
      <c r="E44" s="231"/>
      <c r="F44" s="409" t="str">
        <f>IF(E44="","",ROUND((E44-(sr_i+SUM($D$43:D44))),4-1-INT(LOG10($H$17))))</f>
        <v/>
      </c>
      <c r="G44" s="410"/>
      <c r="H44" s="338" t="str">
        <f t="shared" si="0"/>
        <v/>
      </c>
      <c r="I44" s="338"/>
      <c r="J44" s="232" t="str">
        <f t="shared" ref="J44:J46" si="1">IF(E44="","",E44-E43)</f>
        <v/>
      </c>
      <c r="K44" s="351"/>
      <c r="L44" s="352"/>
    </row>
    <row r="45" spans="1:15" ht="15.75" customHeight="1" x14ac:dyDescent="0.25">
      <c r="A45" s="312" t="s">
        <v>6</v>
      </c>
      <c r="B45" s="313"/>
      <c r="C45" s="246" t="s">
        <v>288</v>
      </c>
      <c r="D45" s="230"/>
      <c r="E45" s="231"/>
      <c r="F45" s="409" t="str">
        <f>IF(E45="","",ROUND((E45-(sr_i+SUM($D$43:D45))),4-1-INT(LOG10($H$17))))</f>
        <v/>
      </c>
      <c r="G45" s="410"/>
      <c r="H45" s="338" t="str">
        <f t="shared" si="0"/>
        <v/>
      </c>
      <c r="I45" s="338"/>
      <c r="J45" s="232" t="str">
        <f t="shared" si="1"/>
        <v/>
      </c>
      <c r="K45" s="351"/>
      <c r="L45" s="352"/>
    </row>
    <row r="46" spans="1:15" ht="15.75" customHeight="1" x14ac:dyDescent="0.25">
      <c r="A46" s="308" t="str">
        <f>IF(L21=4,A48,"4th")</f>
        <v>4th</v>
      </c>
      <c r="B46" s="309"/>
      <c r="C46" s="246" t="s">
        <v>288</v>
      </c>
      <c r="D46" s="230"/>
      <c r="E46" s="231"/>
      <c r="F46" s="409" t="str">
        <f>IF(E46="","",ROUND((E46-(sr_i+SUM($D$43:D46))),4-1-INT(LOG10($H$17))))</f>
        <v/>
      </c>
      <c r="G46" s="410"/>
      <c r="H46" s="338" t="str">
        <f t="shared" si="0"/>
        <v/>
      </c>
      <c r="I46" s="338"/>
      <c r="J46" s="232" t="str">
        <f t="shared" si="1"/>
        <v/>
      </c>
      <c r="K46" s="351"/>
      <c r="L46" s="352"/>
    </row>
    <row r="47" spans="1:15" ht="15.75" customHeight="1" x14ac:dyDescent="0.25">
      <c r="A47" s="310" t="s">
        <v>191</v>
      </c>
      <c r="B47" s="311"/>
      <c r="C47" s="247" t="s">
        <v>288</v>
      </c>
      <c r="D47" s="230"/>
      <c r="E47" s="233"/>
      <c r="F47" s="407" t="str">
        <f>IF(E46="","",ROUND((E47-(sr_i+SUM($D$43:D47))),4-1-INT(LOG10($H$17))))</f>
        <v/>
      </c>
      <c r="G47" s="408"/>
      <c r="H47" s="339" t="str">
        <f t="shared" si="0"/>
        <v/>
      </c>
      <c r="I47" s="339"/>
      <c r="J47" s="234" t="str">
        <f>IF(E47="","",E47-E46)</f>
        <v/>
      </c>
      <c r="K47" s="351"/>
      <c r="L47" s="352"/>
    </row>
    <row r="48" spans="1:15" ht="16.5" customHeight="1" x14ac:dyDescent="0.25">
      <c r="A48" s="312" t="s">
        <v>7</v>
      </c>
      <c r="B48" s="313"/>
      <c r="C48" s="246" t="s">
        <v>288</v>
      </c>
      <c r="D48" s="230"/>
      <c r="E48" s="231"/>
      <c r="F48" s="407" t="str">
        <f>IF(E48="","",ROUND((E48-(sr_i+SUM($D$43:D48))),4-1-INT(LOG10($H$17))))</f>
        <v/>
      </c>
      <c r="G48" s="408"/>
      <c r="H48" s="338" t="str">
        <f t="shared" si="0"/>
        <v/>
      </c>
      <c r="I48" s="338"/>
      <c r="J48" s="232" t="str">
        <f>IF(E48="","",E48-E47)</f>
        <v/>
      </c>
      <c r="K48" s="353"/>
      <c r="L48" s="354"/>
    </row>
    <row r="49" spans="1:12" ht="17.45" customHeight="1" x14ac:dyDescent="0.35">
      <c r="A49" s="343" t="s">
        <v>290</v>
      </c>
      <c r="B49" s="344"/>
      <c r="C49" s="344"/>
      <c r="D49" s="344"/>
      <c r="E49" s="344"/>
      <c r="F49" s="344"/>
      <c r="G49" s="344"/>
      <c r="H49" s="344"/>
      <c r="I49" s="344"/>
      <c r="J49" s="344"/>
      <c r="K49" s="345"/>
      <c r="L49" s="213"/>
    </row>
    <row r="50" spans="1:12" ht="16.5" customHeight="1" x14ac:dyDescent="0.25">
      <c r="A50" s="340" t="str">
        <f>IF(L49="","",IF(L49="Yes","The Neck Uniformity Tolerance Test failed, the Neck Scale Plate MUST be replaced!","The Neck Uniformity Tolerance Test Passed!, Continue to the next question."))</f>
        <v/>
      </c>
      <c r="B50" s="341"/>
      <c r="C50" s="341"/>
      <c r="D50" s="341"/>
      <c r="E50" s="341"/>
      <c r="F50" s="341"/>
      <c r="G50" s="341"/>
      <c r="H50" s="341"/>
      <c r="I50" s="341"/>
      <c r="J50" s="341"/>
      <c r="K50" s="341"/>
      <c r="L50" s="342"/>
    </row>
    <row r="51" spans="1:12" ht="17.45" customHeight="1" x14ac:dyDescent="0.35">
      <c r="A51" s="343" t="s">
        <v>291</v>
      </c>
      <c r="B51" s="344"/>
      <c r="C51" s="344"/>
      <c r="D51" s="344"/>
      <c r="E51" s="344"/>
      <c r="F51" s="344"/>
      <c r="G51" s="344"/>
      <c r="H51" s="344"/>
      <c r="I51" s="344"/>
      <c r="J51" s="344"/>
      <c r="K51" s="345"/>
      <c r="L51" s="213"/>
    </row>
    <row r="52" spans="1:12" ht="57.75" customHeight="1" x14ac:dyDescent="0.25">
      <c r="A52" s="340" t="str">
        <f>IF(L51="","",IF(L51="No","The "&amp;D11&amp;" passed all tolerance tests. The "&amp;D11&amp;" can be used for it's intended purpose without a issuing a Neck Scale Correction Factor (NSCF). A supplemental statement on the "&amp;D11&amp;" calibration certificate should be generated and include supporting measurement calibration results.","The Neck Scale Correction Factor (NSCF) will now be applied to the Neck Calibration Tolerance Test to determine if it will clear the failures."))</f>
        <v/>
      </c>
      <c r="B52" s="341"/>
      <c r="C52" s="341"/>
      <c r="D52" s="341"/>
      <c r="E52" s="341"/>
      <c r="F52" s="341"/>
      <c r="G52" s="341"/>
      <c r="H52" s="341"/>
      <c r="I52" s="341"/>
      <c r="J52" s="341"/>
      <c r="K52" s="341"/>
      <c r="L52" s="342"/>
    </row>
    <row r="53" spans="1:12" ht="17.45" customHeight="1" x14ac:dyDescent="0.35">
      <c r="A53" s="316" t="s">
        <v>263</v>
      </c>
      <c r="B53" s="317"/>
      <c r="C53" s="317"/>
      <c r="D53" s="317"/>
      <c r="E53" s="317"/>
      <c r="F53" s="317"/>
      <c r="G53" s="317"/>
      <c r="H53" s="317"/>
      <c r="I53" s="317"/>
      <c r="J53" s="317"/>
      <c r="K53" s="317"/>
      <c r="L53" s="318"/>
    </row>
    <row r="54" spans="1:12" ht="49.7" customHeight="1" x14ac:dyDescent="0.25">
      <c r="A54" s="429" t="s">
        <v>3</v>
      </c>
      <c r="B54" s="430"/>
      <c r="C54" s="431"/>
      <c r="D54" s="227" t="str">
        <f>IF(ScaleGradUnit="L","Volume Added (L)",IF(ScaleGradUnit="mL","Volume Added (mL)",IF(ScaleGradUnit="gal","Volume Added (gal)","Volume Added (in³)")))</f>
        <v>Volume Added (in³)</v>
      </c>
      <c r="E54" s="227" t="str">
        <f>IF(ScaleGradUnit="L","Scale Reading (sr) (L)",IF(ScaleGradUnit="mL","Scale Reading (sr) (mL)",IF(ScaleGradUnit="gal","Scale Reading (sr) (gal)","Scale Reading (sr) (in³)")))</f>
        <v>Scale Reading (sr) (in³)</v>
      </c>
      <c r="F54" s="227" t="str">
        <f>IF(ScaleGradUnit="L","Scale Deviation (Δsr) (L)",IF(ScaleGradUnit="mL","Scale Deviation (Δsr) (mL)",IF(ScaleGradUnit="gal","Scale Deviation (Δsr) (gal)","Scale Deviation (Δsr) (in³)")))</f>
        <v>Scale Deviation (Δsr) (in³)</v>
      </c>
      <c r="G54" s="227"/>
      <c r="H54" s="432" t="str">
        <f>"Neck Calibration Tolerance ± "&amp;NC_Tol&amp;" "&amp;ScaleGradUnit</f>
        <v xml:space="preserve">Neck Calibration Tolerance ±  </v>
      </c>
      <c r="I54" s="433"/>
      <c r="J54" s="434"/>
      <c r="K54" s="434"/>
      <c r="L54" s="435"/>
    </row>
    <row r="55" spans="1:12" s="204" customFormat="1" ht="16.5" x14ac:dyDescent="0.25">
      <c r="A55" s="438" t="s">
        <v>292</v>
      </c>
      <c r="B55" s="439"/>
      <c r="C55" s="439"/>
      <c r="D55" s="440"/>
      <c r="E55" s="240" t="str">
        <f>IF($L$51="Yes",sr_i,"")</f>
        <v/>
      </c>
      <c r="F55" s="203"/>
      <c r="G55" s="244"/>
      <c r="H55" s="421" t="str">
        <f>IF(Spec="","",IF(AND(ScaleGradUnit="in³",Spec="NIST HB 105-3"),NomVol*231*0.05%,IF(AND(ScaleGradUnit="mL",Spec="NIST HB 105-3"),NomVol*1000*0.05%,IF(AND(ScaleGradUnit="in³",Spec="NIST HB 105-4"),NomVol*231*0.2%,IF(AND(ScaleGradUnit="mL",Spec="NIST HB 105-4"),NomVol*1000*0.2%,IF(AND(OR(ScaleGradUnit="gal",ScaleGradUnit="L"),Spec="NIST HB 105-3"),NomVol*0.05%,NomVol*0.2%))))))</f>
        <v/>
      </c>
      <c r="I55" s="421"/>
      <c r="J55" s="436"/>
      <c r="K55" s="436"/>
      <c r="L55" s="437"/>
    </row>
    <row r="56" spans="1:12" ht="15.75" customHeight="1" x14ac:dyDescent="0.25">
      <c r="A56" s="355" t="s">
        <v>4</v>
      </c>
      <c r="B56" s="356"/>
      <c r="C56" s="357"/>
      <c r="D56" s="239" t="str">
        <f t="shared" ref="D56:E58" si="2">IF($L$51="Yes",D43,"")</f>
        <v/>
      </c>
      <c r="E56" s="239" t="str">
        <f t="shared" si="2"/>
        <v/>
      </c>
      <c r="F56" s="409" t="str">
        <f>IF(E56="","",ROUND((E56*NSCF-(sr_i*NSCF+SUM($D$56:D56))),4-1-INT(LOG10($H$17))))</f>
        <v/>
      </c>
      <c r="G56" s="410"/>
      <c r="H56" s="338" t="str">
        <f t="shared" ref="H56:H61" si="3">IF(E56="","",IF(ABS(F56)&lt;NC_Tol,"Passed","Failed"))</f>
        <v/>
      </c>
      <c r="I56" s="338"/>
      <c r="J56" s="436"/>
      <c r="K56" s="436"/>
      <c r="L56" s="437"/>
    </row>
    <row r="57" spans="1:12" ht="15.75" customHeight="1" x14ac:dyDescent="0.25">
      <c r="A57" s="355" t="s">
        <v>5</v>
      </c>
      <c r="B57" s="356"/>
      <c r="C57" s="357"/>
      <c r="D57" s="239" t="str">
        <f t="shared" si="2"/>
        <v/>
      </c>
      <c r="E57" s="239" t="str">
        <f t="shared" si="2"/>
        <v/>
      </c>
      <c r="F57" s="409" t="str">
        <f>IF(E57="","",ROUND(((E57*NSCF-(sr_i*NSCF+SUM($D$56:D57)))),4-1-INT(LOG10($H$17))))</f>
        <v/>
      </c>
      <c r="G57" s="410"/>
      <c r="H57" s="338" t="str">
        <f t="shared" si="3"/>
        <v/>
      </c>
      <c r="I57" s="338"/>
      <c r="J57" s="436"/>
      <c r="K57" s="436"/>
      <c r="L57" s="437"/>
    </row>
    <row r="58" spans="1:12" ht="15.75" customHeight="1" x14ac:dyDescent="0.25">
      <c r="A58" s="355" t="s">
        <v>6</v>
      </c>
      <c r="B58" s="356"/>
      <c r="C58" s="357"/>
      <c r="D58" s="239" t="str">
        <f t="shared" si="2"/>
        <v/>
      </c>
      <c r="E58" s="239" t="str">
        <f t="shared" si="2"/>
        <v/>
      </c>
      <c r="F58" s="409" t="str">
        <f>IF(E58="","",ROUND(((E58*NSCF-(sr_i*NSCF+SUM($D$56:D58)))),4-1-INT(LOG10($H$17))))</f>
        <v/>
      </c>
      <c r="G58" s="410"/>
      <c r="H58" s="338" t="str">
        <f t="shared" si="3"/>
        <v/>
      </c>
      <c r="I58" s="338"/>
      <c r="J58" s="436"/>
      <c r="K58" s="436"/>
      <c r="L58" s="437"/>
    </row>
    <row r="59" spans="1:12" ht="15.75" customHeight="1" x14ac:dyDescent="0.25">
      <c r="A59" s="358" t="str">
        <f>IF(L33=4,A61,"4th")</f>
        <v>4th</v>
      </c>
      <c r="B59" s="359"/>
      <c r="C59" s="360"/>
      <c r="D59" s="239" t="str">
        <f t="shared" ref="D59:E61" si="4">IF($L$51="Yes",D46,"")</f>
        <v/>
      </c>
      <c r="E59" s="239" t="str">
        <f t="shared" si="4"/>
        <v/>
      </c>
      <c r="F59" s="409" t="str">
        <f>IF(E59="","",ROUND(((E59*NSCF-(sr_i*NSCF+SUM($D$56:D59)))),4-1-INT(LOG10($H$17))))</f>
        <v/>
      </c>
      <c r="G59" s="410"/>
      <c r="H59" s="338" t="str">
        <f t="shared" si="3"/>
        <v/>
      </c>
      <c r="I59" s="338"/>
      <c r="J59" s="436"/>
      <c r="K59" s="436"/>
      <c r="L59" s="437"/>
    </row>
    <row r="60" spans="1:12" ht="15.75" customHeight="1" x14ac:dyDescent="0.25">
      <c r="A60" s="361" t="s">
        <v>191</v>
      </c>
      <c r="B60" s="362"/>
      <c r="C60" s="363"/>
      <c r="D60" s="239" t="str">
        <f t="shared" si="4"/>
        <v/>
      </c>
      <c r="E60" s="239" t="str">
        <f t="shared" si="4"/>
        <v/>
      </c>
      <c r="F60" s="407" t="str">
        <f>IF(E60="","",ROUND(((E60*NSCF-(sr_i*NSCF+SUM($D$56:D60)))),4-1-INT(LOG10($H$17))))</f>
        <v/>
      </c>
      <c r="G60" s="408"/>
      <c r="H60" s="339" t="str">
        <f t="shared" si="3"/>
        <v/>
      </c>
      <c r="I60" s="339"/>
      <c r="J60" s="436"/>
      <c r="K60" s="436"/>
      <c r="L60" s="437"/>
    </row>
    <row r="61" spans="1:12" ht="16.5" customHeight="1" x14ac:dyDescent="0.25">
      <c r="A61" s="355" t="s">
        <v>7</v>
      </c>
      <c r="B61" s="356"/>
      <c r="C61" s="357"/>
      <c r="D61" s="239" t="str">
        <f t="shared" si="4"/>
        <v/>
      </c>
      <c r="E61" s="239" t="str">
        <f t="shared" si="4"/>
        <v/>
      </c>
      <c r="F61" s="407" t="str">
        <f>IF(E61="","",ROUND(((E61*NSCF-(sr_i*NSCF+SUM($D$56:D61)))),4-1-INT(LOG10($H$17))))</f>
        <v/>
      </c>
      <c r="G61" s="408"/>
      <c r="H61" s="338" t="str">
        <f t="shared" si="3"/>
        <v/>
      </c>
      <c r="I61" s="338"/>
      <c r="J61" s="436"/>
      <c r="K61" s="436"/>
      <c r="L61" s="437"/>
    </row>
    <row r="62" spans="1:12" ht="17.45" customHeight="1" x14ac:dyDescent="0.35">
      <c r="A62" s="346" t="s">
        <v>293</v>
      </c>
      <c r="B62" s="347"/>
      <c r="C62" s="347"/>
      <c r="D62" s="347"/>
      <c r="E62" s="347"/>
      <c r="F62" s="347"/>
      <c r="G62" s="347"/>
      <c r="H62" s="347"/>
      <c r="I62" s="347"/>
      <c r="J62" s="347"/>
      <c r="K62" s="348"/>
      <c r="L62" s="213"/>
    </row>
    <row r="63" spans="1:12" ht="57.6" customHeight="1" x14ac:dyDescent="0.25">
      <c r="A63" s="340" t="str">
        <f>IF(L62="","",IF(L62="No","The "&amp;D11&amp;" passed the tolerance tests with the NSCF applied. The "&amp;D11&amp;" can be used for it's intended purpose with a NSCF. The user must be given instructions on the use of the NSCF (see SOP 31). A supplemental statement on the "&amp;D11&amp;" calibration certificate should be generated and include supporting measurement calibration results.","The "&amp;D11&amp;" failed the Neck Calibration Tolerance Tests and MUST be replaced."))</f>
        <v/>
      </c>
      <c r="B63" s="341"/>
      <c r="C63" s="341"/>
      <c r="D63" s="341"/>
      <c r="E63" s="341"/>
      <c r="F63" s="341"/>
      <c r="G63" s="341"/>
      <c r="H63" s="341"/>
      <c r="I63" s="341"/>
      <c r="J63" s="341"/>
      <c r="K63" s="341"/>
      <c r="L63" s="342"/>
    </row>
    <row r="64" spans="1:12" ht="12.2" customHeight="1" x14ac:dyDescent="0.25">
      <c r="I64" s="11"/>
      <c r="J64" s="11"/>
      <c r="K64" s="11"/>
      <c r="L64" s="11"/>
    </row>
    <row r="65" spans="1:15" s="192" customFormat="1" ht="18.75" thickBot="1" x14ac:dyDescent="0.4">
      <c r="A65" s="189" t="s">
        <v>234</v>
      </c>
      <c r="B65" s="189"/>
      <c r="C65" s="190"/>
      <c r="D65" s="190"/>
      <c r="E65" s="190"/>
      <c r="F65" s="190"/>
      <c r="G65" s="190"/>
      <c r="H65" s="190"/>
      <c r="I65" s="190"/>
      <c r="J65" s="193"/>
      <c r="K65" s="194"/>
      <c r="L65" s="194"/>
      <c r="M65"/>
      <c r="N65" s="191"/>
    </row>
    <row r="66" spans="1:15" customFormat="1" ht="16.5" customHeight="1" x14ac:dyDescent="0.3">
      <c r="A66" s="364" t="s">
        <v>211</v>
      </c>
      <c r="B66" s="365"/>
      <c r="C66" s="365"/>
      <c r="D66" s="365"/>
      <c r="E66" s="365"/>
      <c r="F66" s="365"/>
      <c r="G66" s="365"/>
      <c r="H66" s="216" t="str">
        <f>IF(OR(sr_f4="",sr_f6=""),"",IF(ScaleGradUnit="in³",ROUND(IF(L21=4,K31*231/(sr_f4-sr_i),K31*231/(sr_f6-sr_i)),4-1-INT(LOG10(H17))),IF(ScaleGradUnit="mL",ROUND(IF(L21=4,K31*1000/(sr_f4-sr_i),K31*1000/(sr_f6-sr_i)),4-1-INT(LOG10(H17))),ROUND(IF(L21=4,K31/(sr_f4-sr_i),K31/(sr_f6-sr_i)),4-1-INT(LOG10(H17))))))</f>
        <v/>
      </c>
      <c r="I66" s="214"/>
      <c r="J66" s="214"/>
      <c r="K66" s="214"/>
      <c r="L66" s="215"/>
    </row>
    <row r="67" spans="1:15" ht="11.65" customHeight="1" x14ac:dyDescent="0.25"/>
    <row r="68" spans="1:15" s="192" customFormat="1" ht="18.75" thickBot="1" x14ac:dyDescent="0.4">
      <c r="A68" s="189" t="s">
        <v>235</v>
      </c>
      <c r="B68" s="189"/>
      <c r="C68" s="190"/>
      <c r="D68" s="190"/>
      <c r="E68" s="190"/>
      <c r="F68" s="190"/>
      <c r="G68" s="190"/>
      <c r="H68" s="190"/>
      <c r="I68" s="190"/>
      <c r="J68" s="193"/>
      <c r="K68" s="194"/>
      <c r="L68" s="194"/>
      <c r="M68"/>
      <c r="N68" s="191"/>
    </row>
    <row r="69" spans="1:15" customFormat="1" ht="16.5" customHeight="1" x14ac:dyDescent="0.3">
      <c r="A69" s="332" t="str">
        <f>IF(L21="","","Uncorrected Systematic Error = "&amp;ABS(IF(L21=4,ROUND(ABS(AVERAGE(F43:F46)),4-1-INT(LOG10(H17))),ROUND(ABS(AVERAGE(F43:F48)),4-1-INT(LOG10(H17)))))&amp;" "&amp;ScaleGradUnit)</f>
        <v/>
      </c>
      <c r="B69" s="333"/>
      <c r="C69" s="333"/>
      <c r="D69" s="333"/>
      <c r="E69" s="333"/>
      <c r="F69" s="333"/>
      <c r="G69" s="333"/>
      <c r="H69" s="333"/>
      <c r="I69" s="333"/>
      <c r="J69" s="333"/>
      <c r="K69" s="333"/>
      <c r="L69" s="334"/>
    </row>
    <row r="70" spans="1:15" customFormat="1" ht="56.45" customHeight="1" x14ac:dyDescent="0.25">
      <c r="A70" s="335" t="s">
        <v>195</v>
      </c>
      <c r="B70" s="336"/>
      <c r="C70" s="336"/>
      <c r="D70" s="336"/>
      <c r="E70" s="336"/>
      <c r="F70" s="336"/>
      <c r="G70" s="336"/>
      <c r="H70" s="336"/>
      <c r="I70" s="336"/>
      <c r="J70" s="336"/>
      <c r="K70" s="336"/>
      <c r="L70" s="337"/>
    </row>
    <row r="71" spans="1:15" ht="12.2" customHeight="1" x14ac:dyDescent="0.25">
      <c r="I71" s="11"/>
      <c r="J71" s="11"/>
      <c r="K71" s="11"/>
      <c r="L71" s="11"/>
    </row>
    <row r="72" spans="1:15" x14ac:dyDescent="0.25"/>
    <row r="73" spans="1:15" x14ac:dyDescent="0.25"/>
    <row r="74" spans="1:15" ht="15.75" customHeight="1" x14ac:dyDescent="0.25">
      <c r="K74" s="12"/>
      <c r="L74" s="13"/>
      <c r="M74" s="13"/>
      <c r="N74" s="13"/>
      <c r="O74" s="13"/>
    </row>
    <row r="75" spans="1:15" x14ac:dyDescent="0.25">
      <c r="K75" s="13"/>
      <c r="L75" s="13"/>
      <c r="M75" s="13"/>
      <c r="N75" s="13"/>
      <c r="O75" s="13"/>
    </row>
    <row r="76" spans="1:15" x14ac:dyDescent="0.25"/>
    <row r="77" spans="1:15" x14ac:dyDescent="0.25"/>
    <row r="78" spans="1:15" x14ac:dyDescent="0.25"/>
    <row r="79" spans="1:15" x14ac:dyDescent="0.25"/>
    <row r="80" spans="1:15" x14ac:dyDescent="0.25"/>
    <row r="81" x14ac:dyDescent="0.25"/>
    <row r="82" x14ac:dyDescent="0.25"/>
    <row r="83" x14ac:dyDescent="0.25"/>
    <row r="84" x14ac:dyDescent="0.25"/>
    <row r="85" x14ac:dyDescent="0.25"/>
    <row r="86" ht="11.65" customHeight="1" x14ac:dyDescent="0.25"/>
    <row r="87" ht="16.5" customHeight="1" x14ac:dyDescent="0.25"/>
    <row r="88" ht="16.5" customHeight="1" x14ac:dyDescent="0.25"/>
    <row r="89" ht="16.5" customHeight="1" x14ac:dyDescent="0.25"/>
    <row r="90" ht="15.75" customHeight="1" x14ac:dyDescent="0.25"/>
    <row r="91" x14ac:dyDescent="0.25"/>
  </sheetData>
  <sheetProtection algorithmName="SHA-512" hashValue="0eruJYxZ6DDr6OBi2AVQxty8EBoAIv/ObgxTEkDIY4aDqGGTNOewKbt0/hskaq+UYedlHpZs9PmUUFmDxge9CA==" saltValue="tsEkEdHakWT3Zqz7U3gUEQ==" spinCount="100000" sheet="1" objects="1" scenarios="1" selectLockedCells="1"/>
  <mergeCells count="134">
    <mergeCell ref="K27:L27"/>
    <mergeCell ref="H28:I28"/>
    <mergeCell ref="H59:I59"/>
    <mergeCell ref="A27:B27"/>
    <mergeCell ref="A28:B28"/>
    <mergeCell ref="A5:B5"/>
    <mergeCell ref="A6:B6"/>
    <mergeCell ref="A7:B7"/>
    <mergeCell ref="A8:B8"/>
    <mergeCell ref="F28:G28"/>
    <mergeCell ref="E27:I27"/>
    <mergeCell ref="I6:K6"/>
    <mergeCell ref="A12:C12"/>
    <mergeCell ref="D30:F30"/>
    <mergeCell ref="J30:K30"/>
    <mergeCell ref="H41:I41"/>
    <mergeCell ref="J15:K15"/>
    <mergeCell ref="A14:C14"/>
    <mergeCell ref="A21:K21"/>
    <mergeCell ref="E14:G14"/>
    <mergeCell ref="K13:L13"/>
    <mergeCell ref="D12:H12"/>
    <mergeCell ref="I12:J12"/>
    <mergeCell ref="I11:J11"/>
    <mergeCell ref="F60:G60"/>
    <mergeCell ref="F61:G61"/>
    <mergeCell ref="F41:G41"/>
    <mergeCell ref="A23:G23"/>
    <mergeCell ref="F42:G42"/>
    <mergeCell ref="F43:G43"/>
    <mergeCell ref="F44:G44"/>
    <mergeCell ref="F45:G45"/>
    <mergeCell ref="F46:G46"/>
    <mergeCell ref="F47:G47"/>
    <mergeCell ref="A41:C41"/>
    <mergeCell ref="A53:L53"/>
    <mergeCell ref="A54:C54"/>
    <mergeCell ref="H54:I54"/>
    <mergeCell ref="J54:L61"/>
    <mergeCell ref="A55:D55"/>
    <mergeCell ref="H55:I55"/>
    <mergeCell ref="H56:I56"/>
    <mergeCell ref="H57:I57"/>
    <mergeCell ref="K41:L41"/>
    <mergeCell ref="A36:L36"/>
    <mergeCell ref="A43:B43"/>
    <mergeCell ref="A44:B44"/>
    <mergeCell ref="A45:B45"/>
    <mergeCell ref="K11:L11"/>
    <mergeCell ref="K12:L12"/>
    <mergeCell ref="H61:I61"/>
    <mergeCell ref="F48:G48"/>
    <mergeCell ref="F56:G56"/>
    <mergeCell ref="F57:G57"/>
    <mergeCell ref="F58:G58"/>
    <mergeCell ref="A13:C13"/>
    <mergeCell ref="D13:H13"/>
    <mergeCell ref="I13:J13"/>
    <mergeCell ref="C16:F16"/>
    <mergeCell ref="C17:F17"/>
    <mergeCell ref="C18:F18"/>
    <mergeCell ref="I16:L16"/>
    <mergeCell ref="I17:L17"/>
    <mergeCell ref="I18:L18"/>
    <mergeCell ref="C19:F19"/>
    <mergeCell ref="C20:F20"/>
    <mergeCell ref="I19:L19"/>
    <mergeCell ref="I20:L20"/>
    <mergeCell ref="A42:D42"/>
    <mergeCell ref="H42:I42"/>
    <mergeCell ref="A35:L35"/>
    <mergeCell ref="F59:G59"/>
    <mergeCell ref="J1:L1"/>
    <mergeCell ref="K28:L28"/>
    <mergeCell ref="H23:L23"/>
    <mergeCell ref="C28:E28"/>
    <mergeCell ref="J24:L24"/>
    <mergeCell ref="A22:L22"/>
    <mergeCell ref="A29:L29"/>
    <mergeCell ref="J7:L7"/>
    <mergeCell ref="J8:L8"/>
    <mergeCell ref="A4:D4"/>
    <mergeCell ref="A15:C15"/>
    <mergeCell ref="I14:L14"/>
    <mergeCell ref="E15:H15"/>
    <mergeCell ref="A24:C24"/>
    <mergeCell ref="I5:K5"/>
    <mergeCell ref="D11:H11"/>
    <mergeCell ref="A11:C11"/>
    <mergeCell ref="D24:E24"/>
    <mergeCell ref="F24:I24"/>
    <mergeCell ref="A2:L2"/>
    <mergeCell ref="C5:H5"/>
    <mergeCell ref="C6:H6"/>
    <mergeCell ref="C7:H7"/>
    <mergeCell ref="C8:H8"/>
    <mergeCell ref="A69:L69"/>
    <mergeCell ref="A70:L70"/>
    <mergeCell ref="H45:I45"/>
    <mergeCell ref="H44:I44"/>
    <mergeCell ref="H48:I48"/>
    <mergeCell ref="H47:I47"/>
    <mergeCell ref="H46:I46"/>
    <mergeCell ref="A50:L50"/>
    <mergeCell ref="A49:K49"/>
    <mergeCell ref="A62:K62"/>
    <mergeCell ref="A63:L63"/>
    <mergeCell ref="A51:K51"/>
    <mergeCell ref="K43:L48"/>
    <mergeCell ref="H43:I43"/>
    <mergeCell ref="A52:L52"/>
    <mergeCell ref="H60:I60"/>
    <mergeCell ref="A56:C56"/>
    <mergeCell ref="A57:C57"/>
    <mergeCell ref="A58:C58"/>
    <mergeCell ref="A59:C59"/>
    <mergeCell ref="A60:C60"/>
    <mergeCell ref="A61:C61"/>
    <mergeCell ref="A66:G66"/>
    <mergeCell ref="H58:I58"/>
    <mergeCell ref="A46:B46"/>
    <mergeCell ref="A47:B47"/>
    <mergeCell ref="A48:B48"/>
    <mergeCell ref="H30:I30"/>
    <mergeCell ref="A40:L40"/>
    <mergeCell ref="A39:L39"/>
    <mergeCell ref="K42:L42"/>
    <mergeCell ref="A32:C32"/>
    <mergeCell ref="E32:G32"/>
    <mergeCell ref="F31:G31"/>
    <mergeCell ref="I31:J31"/>
    <mergeCell ref="K31:L31"/>
    <mergeCell ref="I32:K32"/>
    <mergeCell ref="A30:B30"/>
  </mergeCells>
  <phoneticPr fontId="9" type="noConversion"/>
  <conditionalFormatting sqref="A47:A48 C47:C48">
    <cfRule type="expression" dxfId="108" priority="8">
      <formula>$L$21=4</formula>
    </cfRule>
  </conditionalFormatting>
  <conditionalFormatting sqref="A60:B61">
    <cfRule type="expression" dxfId="107" priority="5">
      <formula>$L$21=4</formula>
    </cfRule>
  </conditionalFormatting>
  <conditionalFormatting sqref="A50:L50">
    <cfRule type="expression" dxfId="106" priority="50">
      <formula>$L$49="No"</formula>
    </cfRule>
    <cfRule type="expression" dxfId="105" priority="51">
      <formula>$L$49="Yes"</formula>
    </cfRule>
  </conditionalFormatting>
  <conditionalFormatting sqref="A52:L52">
    <cfRule type="expression" dxfId="104" priority="2">
      <formula>$L$51="No"</formula>
    </cfRule>
    <cfRule type="expression" dxfId="103" priority="72">
      <formula>$L$51="Yes"</formula>
    </cfRule>
  </conditionalFormatting>
  <conditionalFormatting sqref="A63:L63">
    <cfRule type="expression" dxfId="102" priority="1">
      <formula>$L$62="No"</formula>
    </cfRule>
    <cfRule type="expression" dxfId="101" priority="71">
      <formula>$L$62="Yes"</formula>
    </cfRule>
  </conditionalFormatting>
  <conditionalFormatting sqref="C5:C8">
    <cfRule type="notContainsBlanks" dxfId="100" priority="14">
      <formula>LEN(TRIM(C5))&gt;0</formula>
    </cfRule>
    <cfRule type="containsBlanks" dxfId="99" priority="15">
      <formula>LEN(TRIM(C5))=0</formula>
    </cfRule>
  </conditionalFormatting>
  <conditionalFormatting sqref="C27">
    <cfRule type="containsBlanks" dxfId="98" priority="139" stopIfTrue="1">
      <formula>LEN(TRIM(C27))=0</formula>
    </cfRule>
    <cfRule type="notContainsBlanks" dxfId="97" priority="140" stopIfTrue="1">
      <formula>LEN(TRIM(C27))&gt;0</formula>
    </cfRule>
  </conditionalFormatting>
  <conditionalFormatting sqref="C31">
    <cfRule type="containsBlanks" dxfId="96" priority="101" stopIfTrue="1">
      <formula>LEN(TRIM(C31))=0</formula>
    </cfRule>
    <cfRule type="notContainsBlanks" dxfId="95" priority="102" stopIfTrue="1">
      <formula>LEN(TRIM(C31))&gt;0</formula>
    </cfRule>
  </conditionalFormatting>
  <conditionalFormatting sqref="C28:D28">
    <cfRule type="containsBlanks" dxfId="94" priority="113" stopIfTrue="1">
      <formula>LEN(TRIM(C28))=0</formula>
    </cfRule>
    <cfRule type="notContainsBlanks" dxfId="93" priority="114" stopIfTrue="1">
      <formula>LEN(TRIM(C28))&gt;0</formula>
    </cfRule>
  </conditionalFormatting>
  <conditionalFormatting sqref="D14:D15">
    <cfRule type="containsBlanks" dxfId="92" priority="77" stopIfTrue="1">
      <formula>LEN(TRIM(D14))=0</formula>
    </cfRule>
    <cfRule type="notContainsBlanks" dxfId="91" priority="78" stopIfTrue="1">
      <formula>LEN(TRIM(D14))&gt;0</formula>
    </cfRule>
  </conditionalFormatting>
  <conditionalFormatting sqref="D32">
    <cfRule type="containsBlanks" dxfId="90" priority="95" stopIfTrue="1">
      <formula>LEN(TRIM(D32))=0</formula>
    </cfRule>
    <cfRule type="notContainsBlanks" dxfId="89" priority="96" stopIfTrue="1">
      <formula>LEN(TRIM(D32))&gt;0</formula>
    </cfRule>
  </conditionalFormatting>
  <conditionalFormatting sqref="D47:E48">
    <cfRule type="expression" dxfId="88" priority="9">
      <formula>$L$21=4</formula>
    </cfRule>
  </conditionalFormatting>
  <conditionalFormatting sqref="D60:E61">
    <cfRule type="expression" dxfId="87" priority="31">
      <formula>$L$21=4</formula>
    </cfRule>
  </conditionalFormatting>
  <conditionalFormatting sqref="E27">
    <cfRule type="containsBlanks" dxfId="86" priority="115" stopIfTrue="1">
      <formula>LEN(TRIM(E27))=0</formula>
    </cfRule>
    <cfRule type="notContainsBlanks" dxfId="85" priority="116" stopIfTrue="1">
      <formula>LEN(TRIM(E27))&gt;0</formula>
    </cfRule>
  </conditionalFormatting>
  <conditionalFormatting sqref="E31">
    <cfRule type="containsBlanks" dxfId="84" priority="99" stopIfTrue="1">
      <formula>LEN(TRIM(E31))=0</formula>
    </cfRule>
    <cfRule type="notContainsBlanks" dxfId="83" priority="100" stopIfTrue="1">
      <formula>LEN(TRIM(E31))&gt;0</formula>
    </cfRule>
  </conditionalFormatting>
  <conditionalFormatting sqref="E42:E48 D43:D48">
    <cfRule type="containsBlanks" dxfId="82" priority="10" stopIfTrue="1">
      <formula>LEN(TRIM(D42))=0</formula>
    </cfRule>
    <cfRule type="notContainsBlanks" dxfId="81" priority="11" stopIfTrue="1">
      <formula>LEN(TRIM(D42))&gt;0</formula>
    </cfRule>
  </conditionalFormatting>
  <conditionalFormatting sqref="F47:G48">
    <cfRule type="expression" dxfId="80" priority="6">
      <formula>$L$21=4</formula>
    </cfRule>
  </conditionalFormatting>
  <conditionalFormatting sqref="F60:G61">
    <cfRule type="expression" dxfId="79" priority="3">
      <formula>$L$21=4</formula>
    </cfRule>
  </conditionalFormatting>
  <conditionalFormatting sqref="H14">
    <cfRule type="containsBlanks" dxfId="78" priority="22" stopIfTrue="1">
      <formula>LEN(TRIM(H14))=0</formula>
    </cfRule>
    <cfRule type="notContainsBlanks" dxfId="77" priority="23" stopIfTrue="1">
      <formula>LEN(TRIM(H14))&gt;0</formula>
    </cfRule>
  </conditionalFormatting>
  <conditionalFormatting sqref="H18:H20">
    <cfRule type="containsBlanks" dxfId="76" priority="136" stopIfTrue="1">
      <formula>LEN(TRIM(H18))=0</formula>
    </cfRule>
    <cfRule type="notContainsBlanks" dxfId="75" priority="137" stopIfTrue="1">
      <formula>LEN(TRIM(H18))&gt;0</formula>
    </cfRule>
  </conditionalFormatting>
  <conditionalFormatting sqref="H28">
    <cfRule type="containsBlanks" dxfId="74" priority="111" stopIfTrue="1">
      <formula>LEN(TRIM(H28))=0</formula>
    </cfRule>
    <cfRule type="notContainsBlanks" dxfId="73" priority="112" stopIfTrue="1">
      <formula>LEN(TRIM(H28))&gt;0</formula>
    </cfRule>
  </conditionalFormatting>
  <conditionalFormatting sqref="H30">
    <cfRule type="containsBlanks" dxfId="72" priority="103" stopIfTrue="1">
      <formula>LEN(TRIM(H30))=0</formula>
    </cfRule>
    <cfRule type="notContainsBlanks" dxfId="71" priority="104" stopIfTrue="1">
      <formula>LEN(TRIM(H30))&gt;0</formula>
    </cfRule>
  </conditionalFormatting>
  <conditionalFormatting sqref="H31">
    <cfRule type="containsBlanks" dxfId="70" priority="97" stopIfTrue="1">
      <formula>LEN(TRIM(H31))=0</formula>
    </cfRule>
    <cfRule type="notContainsBlanks" dxfId="69" priority="98" stopIfTrue="1">
      <formula>LEN(TRIM(H31))&gt;0</formula>
    </cfRule>
  </conditionalFormatting>
  <conditionalFormatting sqref="H32">
    <cfRule type="containsBlanks" dxfId="68" priority="93" stopIfTrue="1">
      <formula>LEN(TRIM(H32))=0</formula>
    </cfRule>
    <cfRule type="notContainsBlanks" dxfId="67" priority="94" stopIfTrue="1">
      <formula>LEN(TRIM(H32))&gt;0</formula>
    </cfRule>
  </conditionalFormatting>
  <conditionalFormatting sqref="H43:H48">
    <cfRule type="expression" dxfId="66" priority="212" stopIfTrue="1">
      <formula>ISBLANK(E42)</formula>
    </cfRule>
    <cfRule type="containsText" dxfId="65" priority="213" stopIfTrue="1" operator="containsText" text="Passed">
      <formula>NOT(ISERROR(SEARCH("Passed",H43)))</formula>
    </cfRule>
    <cfRule type="containsText" dxfId="64" priority="214" stopIfTrue="1" operator="containsText" text="Failed">
      <formula>NOT(ISERROR(SEARCH("Failed",H43)))</formula>
    </cfRule>
  </conditionalFormatting>
  <conditionalFormatting sqref="H56:H61">
    <cfRule type="expression" dxfId="63" priority="39" stopIfTrue="1">
      <formula>ISBLANK(E55)</formula>
    </cfRule>
    <cfRule type="containsText" dxfId="62" priority="40" stopIfTrue="1" operator="containsText" text="Passed">
      <formula>NOT(ISERROR(SEARCH("Passed",H56)))</formula>
    </cfRule>
    <cfRule type="containsText" dxfId="61" priority="41" stopIfTrue="1" operator="containsText" text="Failed">
      <formula>NOT(ISERROR(SEARCH("Failed",H56)))</formula>
    </cfRule>
  </conditionalFormatting>
  <conditionalFormatting sqref="H66">
    <cfRule type="cellIs" dxfId="60" priority="48" operator="equal">
      <formula>1</formula>
    </cfRule>
  </conditionalFormatting>
  <conditionalFormatting sqref="H60:I61">
    <cfRule type="expression" dxfId="59" priority="151">
      <formula>$L$21=4</formula>
    </cfRule>
  </conditionalFormatting>
  <conditionalFormatting sqref="H47:J48">
    <cfRule type="expression" dxfId="58" priority="67">
      <formula>$L$21=4</formula>
    </cfRule>
  </conditionalFormatting>
  <conditionalFormatting sqref="I14">
    <cfRule type="expression" dxfId="57" priority="252">
      <formula>A16=""</formula>
    </cfRule>
    <cfRule type="expression" dxfId="56" priority="253">
      <formula>A16="TRUE"</formula>
    </cfRule>
    <cfRule type="expression" dxfId="55" priority="254">
      <formula>A16="FALSE"</formula>
    </cfRule>
  </conditionalFormatting>
  <conditionalFormatting sqref="I15">
    <cfRule type="containsBlanks" dxfId="54" priority="123" stopIfTrue="1">
      <formula>LEN(TRIM(I15))=0</formula>
    </cfRule>
    <cfRule type="notContainsBlanks" dxfId="53" priority="124" stopIfTrue="1">
      <formula>LEN(TRIM(I15))&gt;0</formula>
    </cfRule>
  </conditionalFormatting>
  <conditionalFormatting sqref="I16">
    <cfRule type="expression" dxfId="52" priority="244">
      <formula>H16&gt;=A17</formula>
    </cfRule>
    <cfRule type="expression" dxfId="51" priority="245">
      <formula>H16&lt;A17</formula>
    </cfRule>
  </conditionalFormatting>
  <conditionalFormatting sqref="I19">
    <cfRule type="expression" dxfId="50" priority="246">
      <formula>Spec="NIST HB 105-4"</formula>
    </cfRule>
    <cfRule type="expression" dxfId="49" priority="247">
      <formula>H19&lt;=A20</formula>
    </cfRule>
    <cfRule type="expression" dxfId="48" priority="248">
      <formula>H19&gt;A20</formula>
    </cfRule>
  </conditionalFormatting>
  <conditionalFormatting sqref="I20">
    <cfRule type="expression" dxfId="47" priority="231">
      <formula>OR(H20&gt;=0.4,H20&lt;=0.6)</formula>
    </cfRule>
    <cfRule type="expression" dxfId="46" priority="232">
      <formula>OR(H20&lt;0.4,H20&gt;0.6)</formula>
    </cfRule>
  </conditionalFormatting>
  <conditionalFormatting sqref="I43:I48">
    <cfRule type="expression" dxfId="45" priority="196" stopIfTrue="1">
      <formula>ISBLANK(P42)</formula>
    </cfRule>
    <cfRule type="containsText" dxfId="44" priority="197" stopIfTrue="1" operator="containsText" text="Passed">
      <formula>NOT(ISERROR(SEARCH("Passed",I43)))</formula>
    </cfRule>
    <cfRule type="containsText" dxfId="43" priority="198" stopIfTrue="1" operator="containsText" text="Failed">
      <formula>NOT(ISERROR(SEARCH("Failed",I43)))</formula>
    </cfRule>
  </conditionalFormatting>
  <conditionalFormatting sqref="I56:I61">
    <cfRule type="expression" dxfId="42" priority="36" stopIfTrue="1">
      <formula>ISBLANK(P55)</formula>
    </cfRule>
    <cfRule type="containsText" dxfId="41" priority="37" stopIfTrue="1" operator="containsText" text="Passed">
      <formula>NOT(ISERROR(SEARCH("Passed",I56)))</formula>
    </cfRule>
    <cfRule type="containsText" dxfId="40" priority="38" stopIfTrue="1" operator="containsText" text="Failed">
      <formula>NOT(ISERROR(SEARCH("Failed",I56)))</formula>
    </cfRule>
  </conditionalFormatting>
  <conditionalFormatting sqref="I16:L16">
    <cfRule type="expression" dxfId="39" priority="43">
      <formula>OR($H$16="",$A$16="False")</formula>
    </cfRule>
  </conditionalFormatting>
  <conditionalFormatting sqref="I17:L17">
    <cfRule type="expression" dxfId="38" priority="262">
      <formula>OR($H$17="",$A$16="False")</formula>
    </cfRule>
    <cfRule type="expression" dxfId="37" priority="263">
      <formula>H17&lt;=A18</formula>
    </cfRule>
    <cfRule type="expression" dxfId="36" priority="264">
      <formula>H17&gt;A18</formula>
    </cfRule>
  </conditionalFormatting>
  <conditionalFormatting sqref="I18:L18">
    <cfRule type="expression" dxfId="35" priority="265">
      <formula>OR($H$18="",$A$16="False")</formula>
    </cfRule>
    <cfRule type="expression" dxfId="34" priority="266">
      <formula>H18&lt;=A19</formula>
    </cfRule>
    <cfRule type="expression" dxfId="33" priority="267">
      <formula>H18&gt;A19</formula>
    </cfRule>
  </conditionalFormatting>
  <conditionalFormatting sqref="I19:L19">
    <cfRule type="expression" dxfId="32" priority="26">
      <formula>OR($H$19="",$A$16="False")</formula>
    </cfRule>
  </conditionalFormatting>
  <conditionalFormatting sqref="I20:L20">
    <cfRule type="expression" dxfId="31" priority="25">
      <formula>OR($H$20="",$A$16="False")</formula>
    </cfRule>
  </conditionalFormatting>
  <conditionalFormatting sqref="J1">
    <cfRule type="containsBlanks" dxfId="30" priority="147" stopIfTrue="1">
      <formula>LEN(TRIM(J1))=0</formula>
    </cfRule>
    <cfRule type="notContainsBlanks" dxfId="29" priority="148" stopIfTrue="1">
      <formula>LEN(TRIM(J1))&gt;0</formula>
    </cfRule>
  </conditionalFormatting>
  <conditionalFormatting sqref="J7:J8">
    <cfRule type="containsBlanks" dxfId="28" priority="117" stopIfTrue="1">
      <formula>LEN(TRIM(J7))=0</formula>
    </cfRule>
    <cfRule type="notContainsBlanks" dxfId="27" priority="118" stopIfTrue="1">
      <formula>LEN(TRIM(J7))&gt;0</formula>
    </cfRule>
  </conditionalFormatting>
  <conditionalFormatting sqref="K11">
    <cfRule type="containsBlanks" dxfId="26" priority="141" stopIfTrue="1">
      <formula>LEN(TRIM(K11))=0</formula>
    </cfRule>
    <cfRule type="notContainsBlanks" dxfId="25" priority="142" stopIfTrue="1">
      <formula>LEN(TRIM(K11))&gt;0</formula>
    </cfRule>
  </conditionalFormatting>
  <conditionalFormatting sqref="K27">
    <cfRule type="containsBlanks" dxfId="24" priority="107" stopIfTrue="1">
      <formula>LEN(TRIM(K27))=0</formula>
    </cfRule>
    <cfRule type="notContainsBlanks" dxfId="23" priority="108" stopIfTrue="1">
      <formula>LEN(TRIM(K27))&gt;0</formula>
    </cfRule>
  </conditionalFormatting>
  <conditionalFormatting sqref="K28">
    <cfRule type="containsBlanks" dxfId="22" priority="70" stopIfTrue="1">
      <formula>LEN(TRIM(K28))=0</formula>
    </cfRule>
    <cfRule type="notContainsBlanks" dxfId="21" priority="110" stopIfTrue="1">
      <formula>LEN(TRIM(K28))&gt;0</formula>
    </cfRule>
  </conditionalFormatting>
  <conditionalFormatting sqref="K43">
    <cfRule type="containsText" dxfId="20" priority="152" stopIfTrue="1" operator="containsText" text="Failed">
      <formula>NOT(ISERROR(SEARCH("Failed",K43)))</formula>
    </cfRule>
    <cfRule type="containsText" dxfId="19" priority="164" stopIfTrue="1" operator="containsText" text="Passed">
      <formula>NOT(ISERROR(SEARCH("Passed",K43)))</formula>
    </cfRule>
    <cfRule type="expression" dxfId="18" priority="215" stopIfTrue="1">
      <formula>ISBLANK($E$42)</formula>
    </cfRule>
  </conditionalFormatting>
  <conditionalFormatting sqref="K28:L28">
    <cfRule type="expression" dxfId="17" priority="24" stopIfTrue="1">
      <formula>K28&gt;TestDate</formula>
    </cfRule>
    <cfRule type="expression" dxfId="16" priority="109" stopIfTrue="1">
      <formula>K28&lt;=TestDate</formula>
    </cfRule>
  </conditionalFormatting>
  <conditionalFormatting sqref="L5:L6 D11:H13 K12:K13 H16:H17 D24 J24 C30">
    <cfRule type="containsBlanks" dxfId="15" priority="165" stopIfTrue="1">
      <formula>LEN(TRIM(C5))=0</formula>
    </cfRule>
    <cfRule type="notContainsBlanks" dxfId="14" priority="175" stopIfTrue="1">
      <formula>LEN(TRIM(C5))&gt;0</formula>
    </cfRule>
  </conditionalFormatting>
  <conditionalFormatting sqref="L15">
    <cfRule type="containsBlanks" dxfId="13" priority="12" stopIfTrue="1">
      <formula>LEN(TRIM(L15))=0</formula>
    </cfRule>
    <cfRule type="notContainsBlanks" dxfId="12" priority="13" stopIfTrue="1">
      <formula>LEN(TRIM(L15))&gt;0</formula>
    </cfRule>
  </conditionalFormatting>
  <conditionalFormatting sqref="L21">
    <cfRule type="containsBlanks" dxfId="11" priority="132" stopIfTrue="1">
      <formula>LEN(TRIM(L21))=0</formula>
    </cfRule>
    <cfRule type="notContainsBlanks" dxfId="10" priority="133" stopIfTrue="1">
      <formula>LEN(TRIM(L21))&gt;0</formula>
    </cfRule>
  </conditionalFormatting>
  <conditionalFormatting sqref="L30">
    <cfRule type="containsBlanks" dxfId="9" priority="20" stopIfTrue="1">
      <formula>LEN(TRIM(L30))=0</formula>
    </cfRule>
    <cfRule type="notContainsBlanks" dxfId="8" priority="21" stopIfTrue="1">
      <formula>LEN(TRIM(L30))&gt;0</formula>
    </cfRule>
  </conditionalFormatting>
  <conditionalFormatting sqref="L32">
    <cfRule type="containsBlanks" dxfId="7" priority="91" stopIfTrue="1">
      <formula>LEN(TRIM(L32))=0</formula>
    </cfRule>
    <cfRule type="notContainsBlanks" dxfId="6" priority="92" stopIfTrue="1">
      <formula>LEN(TRIM(L32))&gt;0</formula>
    </cfRule>
  </conditionalFormatting>
  <conditionalFormatting sqref="L49">
    <cfRule type="containsBlanks" dxfId="5" priority="52" stopIfTrue="1">
      <formula>LEN(TRIM(L49))=0</formula>
    </cfRule>
    <cfRule type="notContainsBlanks" dxfId="4" priority="53" stopIfTrue="1">
      <formula>LEN(TRIM(L49))&gt;0</formula>
    </cfRule>
  </conditionalFormatting>
  <conditionalFormatting sqref="L51">
    <cfRule type="containsBlanks" dxfId="3" priority="75" stopIfTrue="1">
      <formula>LEN(TRIM(L51))=0</formula>
    </cfRule>
    <cfRule type="notContainsBlanks" dxfId="2" priority="76" stopIfTrue="1">
      <formula>LEN(TRIM(L51))&gt;0</formula>
    </cfRule>
  </conditionalFormatting>
  <conditionalFormatting sqref="L62">
    <cfRule type="containsBlanks" dxfId="1" priority="73" stopIfTrue="1">
      <formula>LEN(TRIM(L62))=0</formula>
    </cfRule>
    <cfRule type="notContainsBlanks" dxfId="0" priority="74" stopIfTrue="1">
      <formula>LEN(TRIM(L62))&gt;0</formula>
    </cfRule>
  </conditionalFormatting>
  <dataValidations count="11">
    <dataValidation type="list" allowBlank="1" showInputMessage="1" showErrorMessage="1" promptTitle="Description" prompt="Pick from dropdown list." sqref="D11:H11" xr:uid="{00000000-0002-0000-0400-000000000000}">
      <formula1>"Test Measure,Prover,LPG Prover"</formula1>
    </dataValidation>
    <dataValidation type="list" allowBlank="1" showInputMessage="1" showErrorMessage="1" promptTitle="Nominal Volume Unit" prompt="Pick from dropdown list." sqref="H14" xr:uid="{00000000-0002-0000-0400-000001000000}">
      <formula1>"gal,L"</formula1>
    </dataValidation>
    <dataValidation type="list" allowBlank="1" showInputMessage="1" showErrorMessage="1" promptTitle="Calibration Points" prompt="Pick from dropdown list." sqref="L21" xr:uid="{00000000-0002-0000-0400-000002000000}">
      <formula1>"4,6"</formula1>
    </dataValidation>
    <dataValidation type="list" allowBlank="1" showInputMessage="1" showErrorMessage="1" promptTitle="Reference Temp Units" prompt="Pick from dropdown list." sqref="L15" xr:uid="{00000000-0002-0000-0400-000003000000}">
      <formula1>"ºF,ºC"</formula1>
    </dataValidation>
    <dataValidation allowBlank="1" showInputMessage="1" showErrorMessage="1" promptTitle="Nominal Volume Range Limits" prompt="105-3: 1 to 1500 gal or 5 to 5000 L_x000a_105-4: 20 to 500 gal or 100 to 2000 L_x000a_ANY VALUE OUTSIDE THESE LIMITS_x000a_ARE INVALD" sqref="D14" xr:uid="{00000000-0002-0000-0400-000004000000}"/>
    <dataValidation type="list" allowBlank="1" showInputMessage="1" showErrorMessage="1" promptTitle="Applied NSCF Test Question" prompt="Pick from dropdown list." sqref="L62" xr:uid="{00000000-0002-0000-0400-000005000000}">
      <formula1>"Yes,No"</formula1>
    </dataValidation>
    <dataValidation allowBlank="1" showInputMessage="1" showErrorMessage="1" promptTitle="Total Drops from Standard" prompt="Example: Four (4) interval calibration with two (2) drops per calibration interval = Eight (8) drops total from standard._x000a_(interval x drops per interval = total drops)" sqref="L30" xr:uid="{00000000-0002-0000-0400-000006000000}"/>
    <dataValidation type="list" allowBlank="1" showInputMessage="1" showErrorMessage="1" promptTitle="Specification" prompt="Pick from dropdown list." sqref="K13:L13" xr:uid="{00000000-0002-0000-0400-000007000000}">
      <formula1>"NIST HB 105-3,NIST HB 105-4"</formula1>
    </dataValidation>
    <dataValidation type="list" allowBlank="1" showInputMessage="1" showErrorMessage="1" promptTitle="Scale Graduation Units" prompt="Pick from dropdown list." sqref="D15" xr:uid="{00000000-0002-0000-0400-000008000000}">
      <formula1>"in³,gal,mL,L"</formula1>
    </dataValidation>
    <dataValidation type="list" allowBlank="1" showInputMessage="1" showErrorMessage="1" promptTitle="Uniformity Test Question" prompt="Pick from dropdown list." sqref="L49" xr:uid="{00000000-0002-0000-0400-000009000000}">
      <formula1>"Yes,No"</formula1>
    </dataValidation>
    <dataValidation type="list" allowBlank="1" showInputMessage="1" showErrorMessage="1" promptTitle="Calibration Test Question" prompt="Pick from dropdown list." sqref="L51" xr:uid="{00000000-0002-0000-0400-00000A000000}">
      <formula1>"Yes,No"</formula1>
    </dataValidation>
  </dataValidations>
  <printOptions horizontalCentered="1"/>
  <pageMargins left="0.25" right="0.25" top="1" bottom="1" header="0.5" footer="0.5"/>
  <pageSetup fitToHeight="2" orientation="portrait" horizontalDpi="300" verticalDpi="300" r:id="rId1"/>
  <headerFooter alignWithMargins="0">
    <oddHeader>&amp;L&amp;"Trebuchet MS,Regular"Scale Plate Calibration&amp;R&amp;"Trebuchet MS,Regular"WAMRF-003, Ver. 7,
9/26/2018</oddHeader>
    <oddFooter>&amp;L&amp;"Trebuchet MS,Regular"&amp;F&amp;R&amp;"Trebuchet MS,Regular"&amp;A Worksheet Page &amp;P of &amp;N</oddFooter>
  </headerFooter>
  <rowBreaks count="1" manualBreakCount="1">
    <brk id="63"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8"/>
    <pageSetUpPr autoPageBreaks="0"/>
  </sheetPr>
  <dimension ref="A1:N208"/>
  <sheetViews>
    <sheetView showGridLines="0" zoomScaleNormal="100" workbookViewId="0">
      <selection activeCell="E19" sqref="E19"/>
    </sheetView>
  </sheetViews>
  <sheetFormatPr defaultColWidth="0" defaultRowHeight="0" customHeight="1" zeroHeight="1" x14ac:dyDescent="0.25"/>
  <cols>
    <col min="1" max="12" width="9.88671875" style="126" customWidth="1"/>
    <col min="13" max="13" width="2.109375" style="126" customWidth="1"/>
    <col min="14" max="14" width="14.77734375" style="126" hidden="1" customWidth="1"/>
    <col min="15" max="16384" width="0" style="126" hidden="1"/>
  </cols>
  <sheetData>
    <row r="1" spans="1:14" ht="19.5" thickBot="1" x14ac:dyDescent="0.35">
      <c r="A1" s="119" t="s">
        <v>9</v>
      </c>
      <c r="B1" s="120"/>
      <c r="C1" s="460"/>
      <c r="D1" s="460"/>
      <c r="E1" s="460"/>
      <c r="F1" s="460"/>
      <c r="G1" s="121"/>
      <c r="H1" s="121"/>
      <c r="I1" s="122"/>
      <c r="J1" s="123"/>
      <c r="K1" s="124"/>
      <c r="L1" s="125"/>
    </row>
    <row r="2" spans="1:14" ht="12.2" customHeight="1" x14ac:dyDescent="0.25">
      <c r="B2" s="127"/>
      <c r="C2" s="127"/>
      <c r="D2" s="127"/>
      <c r="E2" s="127"/>
      <c r="F2" s="127"/>
      <c r="G2" s="127"/>
      <c r="H2" s="127"/>
      <c r="I2" s="127"/>
      <c r="J2" s="127"/>
      <c r="K2" s="127"/>
      <c r="L2" s="127"/>
      <c r="N2" s="128"/>
    </row>
    <row r="3" spans="1:14" ht="18.75" thickBot="1" x14ac:dyDescent="0.3">
      <c r="A3" s="129" t="s">
        <v>10</v>
      </c>
      <c r="B3" s="130"/>
      <c r="C3" s="130"/>
      <c r="D3" s="130"/>
      <c r="E3" s="130"/>
      <c r="F3" s="130"/>
      <c r="G3" s="122"/>
      <c r="H3" s="122"/>
      <c r="I3" s="122"/>
      <c r="J3" s="122"/>
      <c r="K3" s="122"/>
      <c r="L3" s="130"/>
    </row>
    <row r="4" spans="1:14" ht="16.5" x14ac:dyDescent="0.25">
      <c r="A4" s="131" t="s">
        <v>155</v>
      </c>
      <c r="B4" s="132"/>
      <c r="C4" s="132"/>
      <c r="D4" s="132"/>
      <c r="E4" s="132"/>
      <c r="F4" s="132"/>
      <c r="G4" s="133"/>
      <c r="H4" s="133"/>
      <c r="I4" s="133"/>
      <c r="J4" s="133"/>
      <c r="K4" s="133"/>
      <c r="L4" s="132"/>
    </row>
    <row r="5" spans="1:14" ht="12.2" customHeight="1" x14ac:dyDescent="0.25">
      <c r="B5" s="127"/>
      <c r="C5" s="127"/>
      <c r="D5" s="127"/>
      <c r="E5" s="127"/>
      <c r="F5" s="127"/>
      <c r="G5" s="127"/>
      <c r="H5" s="127"/>
      <c r="I5" s="127"/>
      <c r="J5" s="127"/>
      <c r="K5" s="127"/>
      <c r="L5" s="127"/>
      <c r="N5" s="128"/>
    </row>
    <row r="6" spans="1:14" ht="18.75" thickBot="1" x14ac:dyDescent="0.3">
      <c r="A6" s="129" t="s">
        <v>11</v>
      </c>
      <c r="B6" s="122"/>
      <c r="C6" s="130"/>
      <c r="D6" s="130"/>
      <c r="E6" s="130"/>
      <c r="F6" s="122"/>
      <c r="G6" s="122"/>
      <c r="H6" s="122"/>
      <c r="I6" s="122"/>
      <c r="J6" s="122"/>
      <c r="K6" s="122"/>
      <c r="L6" s="130"/>
    </row>
    <row r="7" spans="1:14" ht="36" customHeight="1" x14ac:dyDescent="0.25">
      <c r="A7" s="134" t="s">
        <v>247</v>
      </c>
      <c r="B7" s="135"/>
      <c r="C7" s="133"/>
      <c r="D7" s="133"/>
      <c r="E7" s="133"/>
      <c r="F7" s="133"/>
      <c r="G7" s="133"/>
      <c r="H7" s="133"/>
      <c r="I7" s="133"/>
      <c r="J7" s="133"/>
      <c r="K7" s="133"/>
      <c r="L7" s="135"/>
    </row>
    <row r="8" spans="1:14" ht="35.450000000000003" customHeight="1" x14ac:dyDescent="0.25">
      <c r="A8" s="136"/>
      <c r="B8" s="135"/>
      <c r="C8" s="133"/>
      <c r="D8" s="133"/>
      <c r="E8"/>
      <c r="F8" s="133"/>
      <c r="G8" s="133"/>
      <c r="H8" s="133"/>
      <c r="I8" s="133"/>
      <c r="J8" s="133"/>
      <c r="K8" s="133"/>
      <c r="L8" s="135"/>
    </row>
    <row r="9" spans="1:14" ht="11.65" customHeight="1" x14ac:dyDescent="0.3">
      <c r="A9" s="137"/>
      <c r="B9" s="135"/>
      <c r="C9" s="133"/>
      <c r="D9" s="133"/>
      <c r="E9" s="133"/>
      <c r="F9" s="133"/>
      <c r="G9" s="133"/>
      <c r="H9" s="133"/>
      <c r="I9" s="133"/>
      <c r="J9" s="133"/>
      <c r="K9" s="133"/>
      <c r="L9" s="135"/>
    </row>
    <row r="10" spans="1:14" ht="36" customHeight="1" x14ac:dyDescent="0.25">
      <c r="A10" s="134" t="s">
        <v>248</v>
      </c>
      <c r="B10" s="135"/>
      <c r="C10" s="133"/>
      <c r="D10" s="133"/>
      <c r="E10" s="133"/>
      <c r="F10" s="133"/>
      <c r="G10" s="133"/>
      <c r="H10" s="133"/>
      <c r="I10" s="133"/>
      <c r="J10" s="133"/>
      <c r="K10" s="133"/>
      <c r="L10" s="135"/>
    </row>
    <row r="11" spans="1:14" ht="30.6" customHeight="1" x14ac:dyDescent="0.25">
      <c r="A11"/>
      <c r="B11" s="135"/>
      <c r="C11" s="133"/>
      <c r="D11" s="133"/>
      <c r="E11" s="133"/>
      <c r="F11" s="133"/>
      <c r="G11" s="133"/>
      <c r="H11" s="133"/>
      <c r="I11" s="133"/>
      <c r="J11" s="133"/>
      <c r="K11" s="133"/>
      <c r="L11" s="135"/>
    </row>
    <row r="12" spans="1:14" ht="16.5" x14ac:dyDescent="0.3">
      <c r="B12" s="138" t="s">
        <v>144</v>
      </c>
      <c r="C12" s="139"/>
      <c r="D12" s="139"/>
      <c r="E12" s="139"/>
      <c r="F12" s="139"/>
      <c r="G12" s="139"/>
      <c r="H12" s="139"/>
      <c r="I12" s="139"/>
      <c r="J12" s="139"/>
      <c r="K12" s="139"/>
      <c r="L12" s="139"/>
    </row>
    <row r="13" spans="1:14" ht="18" x14ac:dyDescent="0.25">
      <c r="B13" s="220" t="s">
        <v>226</v>
      </c>
      <c r="C13" s="459" t="s">
        <v>156</v>
      </c>
      <c r="D13" s="459"/>
      <c r="E13" s="459"/>
      <c r="F13" s="459"/>
      <c r="G13" s="459"/>
      <c r="H13" s="459"/>
      <c r="I13" s="459"/>
      <c r="J13" s="459"/>
      <c r="K13" s="459"/>
      <c r="L13" s="459"/>
    </row>
    <row r="14" spans="1:14" ht="18" x14ac:dyDescent="0.25">
      <c r="B14" s="220" t="s">
        <v>227</v>
      </c>
      <c r="C14" s="459" t="s">
        <v>157</v>
      </c>
      <c r="D14" s="459"/>
      <c r="E14" s="459"/>
      <c r="F14" s="459"/>
      <c r="G14" s="459"/>
      <c r="H14" s="459"/>
      <c r="I14" s="459"/>
      <c r="J14" s="459"/>
      <c r="K14" s="459"/>
      <c r="L14" s="459"/>
    </row>
    <row r="15" spans="1:14" ht="18" x14ac:dyDescent="0.25">
      <c r="B15" s="220" t="s">
        <v>225</v>
      </c>
      <c r="C15" s="459" t="s">
        <v>158</v>
      </c>
      <c r="D15" s="459"/>
      <c r="E15" s="459"/>
      <c r="F15" s="459"/>
      <c r="G15" s="459"/>
      <c r="H15" s="459"/>
      <c r="I15" s="459"/>
      <c r="J15" s="459"/>
      <c r="K15" s="459"/>
      <c r="L15" s="459"/>
    </row>
    <row r="16" spans="1:14" ht="16.5" x14ac:dyDescent="0.25">
      <c r="B16" s="183" t="s">
        <v>159</v>
      </c>
      <c r="C16" s="459" t="s">
        <v>160</v>
      </c>
      <c r="D16" s="459"/>
      <c r="E16" s="459"/>
      <c r="F16" s="459"/>
      <c r="G16" s="459"/>
      <c r="H16" s="459"/>
      <c r="I16" s="459"/>
      <c r="J16" s="459"/>
      <c r="K16" s="459"/>
      <c r="L16" s="459"/>
    </row>
    <row r="17" spans="1:12" ht="11.65" customHeight="1" x14ac:dyDescent="0.25">
      <c r="B17" s="183"/>
      <c r="C17" s="184"/>
      <c r="D17" s="184"/>
      <c r="E17" s="184"/>
      <c r="F17" s="184"/>
      <c r="G17" s="184"/>
      <c r="H17" s="184"/>
      <c r="I17" s="184"/>
      <c r="J17" s="184"/>
      <c r="K17" s="184"/>
      <c r="L17" s="184"/>
    </row>
    <row r="18" spans="1:12" ht="36" customHeight="1" x14ac:dyDescent="0.25">
      <c r="A18" s="134" t="s">
        <v>249</v>
      </c>
      <c r="B18" s="135"/>
      <c r="C18" s="133"/>
      <c r="D18" s="133"/>
      <c r="E18" s="133"/>
      <c r="F18" s="133"/>
      <c r="G18" s="133"/>
      <c r="H18" s="133"/>
      <c r="I18" s="133"/>
      <c r="J18" s="133"/>
      <c r="K18" s="133"/>
      <c r="L18" s="135"/>
    </row>
    <row r="19" spans="1:12" ht="16.5" x14ac:dyDescent="0.25">
      <c r="A19"/>
      <c r="B19" s="183"/>
      <c r="C19" s="184"/>
      <c r="D19" s="184"/>
      <c r="E19" s="184"/>
      <c r="F19" s="184"/>
      <c r="G19" s="184"/>
      <c r="H19" s="184"/>
      <c r="I19" s="184"/>
      <c r="J19" s="184"/>
      <c r="K19" s="184"/>
      <c r="L19" s="184"/>
    </row>
    <row r="20" spans="1:12" ht="16.5" x14ac:dyDescent="0.25">
      <c r="B20" s="138" t="s">
        <v>144</v>
      </c>
      <c r="C20" s="184"/>
      <c r="D20" s="184"/>
      <c r="E20" s="184"/>
      <c r="F20" s="184"/>
      <c r="G20" s="184"/>
      <c r="H20" s="184"/>
      <c r="I20" s="184"/>
      <c r="J20" s="184"/>
      <c r="K20" s="184"/>
      <c r="L20" s="184"/>
    </row>
    <row r="21" spans="1:12" ht="16.5" customHeight="1" x14ac:dyDescent="0.25">
      <c r="B21" s="218" t="s">
        <v>221</v>
      </c>
      <c r="C21" s="458" t="s">
        <v>161</v>
      </c>
      <c r="D21" s="458"/>
      <c r="E21" s="458"/>
      <c r="F21" s="458"/>
      <c r="G21" s="458"/>
      <c r="H21" s="458"/>
      <c r="I21" s="458"/>
      <c r="J21" s="458"/>
      <c r="K21" s="458"/>
      <c r="L21" s="458"/>
    </row>
    <row r="22" spans="1:12" ht="16.5" customHeight="1" x14ac:dyDescent="0.25">
      <c r="B22" s="218" t="s">
        <v>222</v>
      </c>
      <c r="C22" s="458" t="s">
        <v>162</v>
      </c>
      <c r="D22" s="458"/>
      <c r="E22" s="458"/>
      <c r="F22" s="458"/>
      <c r="G22" s="458"/>
      <c r="H22" s="458"/>
      <c r="I22" s="458"/>
      <c r="J22" s="458"/>
      <c r="K22" s="458"/>
      <c r="L22" s="458"/>
    </row>
    <row r="23" spans="1:12" ht="16.5" customHeight="1" x14ac:dyDescent="0.25">
      <c r="B23" s="218" t="s">
        <v>217</v>
      </c>
      <c r="C23" s="458" t="s">
        <v>156</v>
      </c>
      <c r="D23" s="458"/>
      <c r="E23" s="458"/>
      <c r="F23" s="458"/>
      <c r="G23" s="458"/>
      <c r="H23" s="458"/>
      <c r="I23" s="458"/>
      <c r="J23" s="458"/>
      <c r="K23" s="458"/>
      <c r="L23" s="458"/>
    </row>
    <row r="24" spans="1:12" ht="16.5" customHeight="1" x14ac:dyDescent="0.25">
      <c r="B24" s="219" t="s">
        <v>223</v>
      </c>
      <c r="C24" s="459" t="s">
        <v>158</v>
      </c>
      <c r="D24" s="459"/>
      <c r="E24" s="459"/>
      <c r="F24" s="459"/>
      <c r="G24" s="459"/>
      <c r="H24" s="459"/>
      <c r="I24" s="459"/>
      <c r="J24" s="459"/>
      <c r="K24" s="459"/>
      <c r="L24" s="459"/>
    </row>
    <row r="25" spans="1:12" ht="11.65" customHeight="1" x14ac:dyDescent="0.25">
      <c r="B25" s="140"/>
      <c r="C25" s="185"/>
      <c r="D25" s="185"/>
      <c r="E25" s="185"/>
      <c r="F25" s="185"/>
      <c r="G25" s="185"/>
      <c r="H25" s="185"/>
      <c r="I25" s="185"/>
      <c r="J25" s="185"/>
      <c r="K25" s="185"/>
      <c r="L25" s="185"/>
    </row>
    <row r="26" spans="1:12" ht="36" customHeight="1" x14ac:dyDescent="0.25">
      <c r="A26" s="134" t="s">
        <v>250</v>
      </c>
      <c r="B26" s="135"/>
      <c r="C26" s="133"/>
      <c r="D26" s="133"/>
      <c r="E26" s="133"/>
      <c r="F26" s="133"/>
      <c r="G26" s="133"/>
      <c r="H26" s="133"/>
      <c r="I26" s="133"/>
      <c r="J26" s="133"/>
      <c r="K26" s="133"/>
      <c r="L26" s="135"/>
    </row>
    <row r="27" spans="1:12" ht="36.75" customHeight="1" x14ac:dyDescent="0.25">
      <c r="A27"/>
      <c r="B27" s="140"/>
      <c r="C27" s="185"/>
      <c r="D27" s="185"/>
      <c r="E27" s="185"/>
      <c r="F27" s="185"/>
      <c r="G27" s="185"/>
      <c r="H27" s="185"/>
      <c r="I27" s="185"/>
      <c r="J27" s="185"/>
      <c r="K27" s="185"/>
      <c r="L27" s="185"/>
    </row>
    <row r="28" spans="1:12" ht="16.5" customHeight="1" x14ac:dyDescent="0.25">
      <c r="B28" s="138" t="s">
        <v>144</v>
      </c>
      <c r="C28" s="184"/>
      <c r="D28" s="184"/>
      <c r="E28" s="184"/>
      <c r="F28" s="184"/>
      <c r="G28" s="184"/>
      <c r="H28" s="184"/>
      <c r="I28" s="184"/>
      <c r="J28" s="184"/>
      <c r="K28" s="184"/>
      <c r="L28" s="184"/>
    </row>
    <row r="29" spans="1:12" ht="16.5" customHeight="1" x14ac:dyDescent="0.25">
      <c r="B29" s="217" t="s">
        <v>215</v>
      </c>
      <c r="C29" s="458" t="s">
        <v>163</v>
      </c>
      <c r="D29" s="458"/>
      <c r="E29" s="458"/>
      <c r="F29" s="458"/>
      <c r="G29" s="458"/>
      <c r="H29" s="458"/>
      <c r="I29" s="458"/>
      <c r="J29" s="458"/>
      <c r="K29" s="458"/>
      <c r="L29" s="458"/>
    </row>
    <row r="30" spans="1:12" ht="16.5" customHeight="1" x14ac:dyDescent="0.25">
      <c r="B30" s="218" t="s">
        <v>216</v>
      </c>
      <c r="C30" s="458" t="s">
        <v>164</v>
      </c>
      <c r="D30" s="458"/>
      <c r="E30" s="458"/>
      <c r="F30" s="458"/>
      <c r="G30" s="458"/>
      <c r="H30" s="458"/>
      <c r="I30" s="458"/>
      <c r="J30" s="458"/>
      <c r="K30" s="458"/>
      <c r="L30" s="458"/>
    </row>
    <row r="31" spans="1:12" ht="16.5" customHeight="1" x14ac:dyDescent="0.25">
      <c r="B31" s="218" t="s">
        <v>217</v>
      </c>
      <c r="C31" s="458" t="s">
        <v>156</v>
      </c>
      <c r="D31" s="458"/>
      <c r="E31" s="458"/>
      <c r="F31" s="458"/>
      <c r="G31" s="458"/>
      <c r="H31" s="458"/>
      <c r="I31" s="458"/>
      <c r="J31" s="458"/>
      <c r="K31" s="458"/>
      <c r="L31" s="458"/>
    </row>
    <row r="32" spans="1:12" ht="16.5" customHeight="1" x14ac:dyDescent="0.25">
      <c r="B32" s="218" t="s">
        <v>218</v>
      </c>
      <c r="C32" s="458" t="s">
        <v>165</v>
      </c>
      <c r="D32" s="458"/>
      <c r="E32" s="458"/>
      <c r="F32" s="458"/>
      <c r="G32" s="458"/>
      <c r="H32" s="458"/>
      <c r="I32" s="458"/>
      <c r="J32" s="458"/>
      <c r="K32" s="458"/>
      <c r="L32" s="458"/>
    </row>
    <row r="33" spans="1:12" ht="11.65" customHeight="1" x14ac:dyDescent="0.25">
      <c r="B33" s="140"/>
      <c r="C33" s="185"/>
      <c r="D33" s="185"/>
      <c r="E33" s="185"/>
      <c r="F33" s="185"/>
      <c r="G33" s="185"/>
      <c r="H33" s="185"/>
      <c r="I33" s="185"/>
      <c r="J33" s="185"/>
      <c r="K33" s="185"/>
      <c r="L33" s="185"/>
    </row>
    <row r="34" spans="1:12" ht="36" customHeight="1" x14ac:dyDescent="0.25">
      <c r="A34" s="134" t="s">
        <v>279</v>
      </c>
      <c r="B34" s="135"/>
      <c r="C34" s="133"/>
      <c r="D34" s="133"/>
      <c r="E34" s="133"/>
      <c r="F34" s="133"/>
      <c r="G34" s="133"/>
      <c r="H34" s="133"/>
      <c r="I34" s="133"/>
      <c r="J34" s="133"/>
      <c r="K34" s="133"/>
      <c r="L34" s="135"/>
    </row>
    <row r="35" spans="1:12" ht="36" customHeight="1" x14ac:dyDescent="0.25">
      <c r="A35"/>
      <c r="B35" s="135"/>
      <c r="C35" s="133"/>
      <c r="D35" s="133"/>
      <c r="E35" s="133"/>
      <c r="F35" s="133"/>
      <c r="G35" s="133"/>
      <c r="H35" s="133"/>
      <c r="I35" s="133"/>
      <c r="J35" s="133"/>
      <c r="K35" s="133"/>
      <c r="L35" s="135"/>
    </row>
    <row r="36" spans="1:12" ht="36" customHeight="1" x14ac:dyDescent="0.25">
      <c r="A36" s="134" t="s">
        <v>280</v>
      </c>
      <c r="B36" s="135"/>
      <c r="C36" s="133"/>
      <c r="D36" s="133"/>
      <c r="E36" s="133"/>
      <c r="F36" s="133"/>
      <c r="G36" s="133"/>
      <c r="H36" s="133"/>
      <c r="I36" s="133"/>
      <c r="J36" s="133"/>
      <c r="K36" s="133"/>
      <c r="L36" s="135"/>
    </row>
    <row r="37" spans="1:12" ht="36.75" customHeight="1" x14ac:dyDescent="0.25">
      <c r="A37"/>
      <c r="B37" s="140"/>
      <c r="C37" s="241"/>
      <c r="D37" s="241"/>
      <c r="E37" s="241"/>
      <c r="F37" s="241"/>
      <c r="G37" s="241"/>
      <c r="H37" s="241"/>
      <c r="I37" s="241"/>
      <c r="J37" s="241"/>
      <c r="K37" s="241"/>
      <c r="L37" s="241"/>
    </row>
    <row r="38" spans="1:12" ht="16.5" customHeight="1" x14ac:dyDescent="0.25">
      <c r="B38" s="138" t="s">
        <v>144</v>
      </c>
      <c r="C38" s="242"/>
      <c r="D38" s="242"/>
      <c r="E38" s="242"/>
      <c r="F38" s="242"/>
      <c r="G38" s="242"/>
      <c r="H38" s="242"/>
      <c r="I38" s="242"/>
      <c r="J38" s="242"/>
      <c r="K38" s="242"/>
      <c r="L38" s="242"/>
    </row>
    <row r="39" spans="1:12" ht="16.5" customHeight="1" x14ac:dyDescent="0.25">
      <c r="B39" s="218" t="s">
        <v>274</v>
      </c>
      <c r="C39" s="458" t="s">
        <v>277</v>
      </c>
      <c r="D39" s="458"/>
      <c r="E39" s="458"/>
      <c r="F39" s="458"/>
      <c r="G39" s="458"/>
      <c r="H39" s="458"/>
      <c r="I39" s="458"/>
      <c r="J39" s="458"/>
      <c r="K39" s="458"/>
      <c r="L39" s="458"/>
    </row>
    <row r="40" spans="1:12" ht="16.5" customHeight="1" x14ac:dyDescent="0.25">
      <c r="B40" s="218" t="s">
        <v>275</v>
      </c>
      <c r="C40" s="458" t="s">
        <v>240</v>
      </c>
      <c r="D40" s="458"/>
      <c r="E40" s="458"/>
      <c r="F40" s="458"/>
      <c r="G40" s="458"/>
      <c r="H40" s="458"/>
      <c r="I40" s="458"/>
      <c r="J40" s="458"/>
      <c r="K40" s="458"/>
      <c r="L40" s="458"/>
    </row>
    <row r="41" spans="1:12" ht="16.5" customHeight="1" x14ac:dyDescent="0.25">
      <c r="B41" s="218" t="s">
        <v>252</v>
      </c>
      <c r="C41" s="458" t="s">
        <v>276</v>
      </c>
      <c r="D41" s="458"/>
      <c r="E41" s="458"/>
      <c r="F41" s="458"/>
      <c r="G41" s="458"/>
      <c r="H41" s="458"/>
      <c r="I41" s="458"/>
      <c r="J41" s="458"/>
      <c r="K41" s="458"/>
      <c r="L41" s="458"/>
    </row>
    <row r="42" spans="1:12" ht="16.5" customHeight="1" x14ac:dyDescent="0.25">
      <c r="B42" s="218" t="s">
        <v>253</v>
      </c>
      <c r="C42" s="458" t="s">
        <v>278</v>
      </c>
      <c r="D42" s="458"/>
      <c r="E42" s="458"/>
      <c r="F42" s="458"/>
      <c r="G42" s="458"/>
      <c r="H42" s="458"/>
      <c r="I42" s="458"/>
      <c r="J42" s="458"/>
      <c r="K42" s="458"/>
      <c r="L42" s="458"/>
    </row>
    <row r="43" spans="1:12" ht="11.65" customHeight="1" x14ac:dyDescent="0.25">
      <c r="B43" s="140"/>
      <c r="C43" s="241"/>
      <c r="D43" s="241"/>
      <c r="E43" s="241"/>
      <c r="F43" s="241"/>
      <c r="G43" s="241"/>
      <c r="H43" s="241"/>
      <c r="I43" s="241"/>
      <c r="J43" s="241"/>
      <c r="K43" s="241"/>
      <c r="L43" s="241"/>
    </row>
    <row r="44" spans="1:12" ht="36" customHeight="1" x14ac:dyDescent="0.25">
      <c r="A44" s="134" t="s">
        <v>251</v>
      </c>
      <c r="B44" s="135"/>
      <c r="C44" s="133"/>
      <c r="D44" s="133"/>
      <c r="E44" s="133"/>
      <c r="F44" s="133"/>
      <c r="G44" s="133"/>
      <c r="H44" s="133"/>
      <c r="I44" s="133"/>
      <c r="J44" s="133"/>
      <c r="K44" s="133"/>
      <c r="L44" s="135"/>
    </row>
    <row r="45" spans="1:12" ht="16.5" customHeight="1" x14ac:dyDescent="0.25">
      <c r="A45"/>
      <c r="B45" s="140"/>
      <c r="C45" s="185"/>
      <c r="D45" s="185"/>
      <c r="E45" s="185"/>
      <c r="F45" s="185"/>
      <c r="G45" s="185"/>
      <c r="H45" s="185"/>
      <c r="I45" s="185"/>
      <c r="J45" s="185"/>
      <c r="K45" s="185"/>
      <c r="L45" s="185"/>
    </row>
    <row r="46" spans="1:12" ht="16.5" customHeight="1" x14ac:dyDescent="0.25">
      <c r="A46"/>
      <c r="B46" s="138" t="s">
        <v>144</v>
      </c>
      <c r="C46" s="185"/>
      <c r="D46" s="185"/>
      <c r="E46" s="185"/>
      <c r="F46" s="185"/>
      <c r="G46" s="185"/>
      <c r="H46" s="185"/>
      <c r="I46" s="185"/>
      <c r="J46" s="185"/>
      <c r="K46" s="185"/>
      <c r="L46" s="185"/>
    </row>
    <row r="47" spans="1:12" ht="16.5" customHeight="1" x14ac:dyDescent="0.3">
      <c r="B47" s="218" t="s">
        <v>219</v>
      </c>
      <c r="C47" s="186" t="s">
        <v>167</v>
      </c>
      <c r="D47"/>
      <c r="E47"/>
      <c r="F47"/>
      <c r="G47"/>
      <c r="H47"/>
      <c r="I47"/>
      <c r="J47"/>
      <c r="K47"/>
      <c r="L47"/>
    </row>
    <row r="48" spans="1:12" ht="16.5" customHeight="1" x14ac:dyDescent="0.3">
      <c r="B48" s="218" t="s">
        <v>224</v>
      </c>
      <c r="C48" s="186" t="s">
        <v>168</v>
      </c>
      <c r="D48"/>
      <c r="E48"/>
      <c r="F48"/>
      <c r="G48"/>
      <c r="H48"/>
      <c r="I48"/>
      <c r="J48"/>
      <c r="K48"/>
      <c r="L48"/>
    </row>
    <row r="49" spans="1:14" ht="16.5" customHeight="1" x14ac:dyDescent="0.3">
      <c r="B49" s="218" t="s">
        <v>166</v>
      </c>
      <c r="C49" s="186" t="s">
        <v>196</v>
      </c>
      <c r="D49"/>
      <c r="E49"/>
      <c r="F49"/>
      <c r="G49"/>
      <c r="H49"/>
      <c r="I49"/>
      <c r="J49"/>
      <c r="K49"/>
      <c r="L49"/>
    </row>
    <row r="50" spans="1:14" ht="12.2" customHeight="1" x14ac:dyDescent="0.25">
      <c r="A50" s="141"/>
      <c r="B50" s="142"/>
      <c r="C50" s="142"/>
      <c r="D50" s="142"/>
      <c r="E50" s="142"/>
      <c r="F50" s="142"/>
      <c r="G50" s="142"/>
      <c r="H50" s="142"/>
      <c r="I50" s="142"/>
      <c r="J50" s="142"/>
      <c r="K50" s="142"/>
      <c r="L50" s="135"/>
    </row>
    <row r="51" spans="1:14" ht="18.75" thickBot="1" x14ac:dyDescent="0.25">
      <c r="A51" s="143" t="s">
        <v>239</v>
      </c>
      <c r="B51" s="144"/>
      <c r="C51" s="145"/>
      <c r="D51" s="145"/>
      <c r="E51" s="145"/>
      <c r="F51" s="145"/>
      <c r="G51" s="144"/>
      <c r="H51" s="145"/>
      <c r="I51" s="145"/>
      <c r="J51" s="145"/>
      <c r="K51" s="144"/>
      <c r="L51" s="145"/>
      <c r="M51" s="51"/>
      <c r="N51" s="51"/>
    </row>
    <row r="52" spans="1:14" ht="15" customHeight="1" x14ac:dyDescent="0.2">
      <c r="A52" s="490" t="s">
        <v>230</v>
      </c>
      <c r="B52" s="491"/>
      <c r="C52" s="491"/>
      <c r="D52" s="491"/>
      <c r="E52" s="491"/>
      <c r="F52" s="222" t="s">
        <v>231</v>
      </c>
      <c r="G52" s="486" t="s">
        <v>228</v>
      </c>
      <c r="H52" s="487"/>
      <c r="I52" s="487"/>
      <c r="J52" s="487"/>
      <c r="K52" s="492" t="s">
        <v>229</v>
      </c>
      <c r="L52" s="493"/>
      <c r="M52" s="51"/>
      <c r="N52" s="51"/>
    </row>
    <row r="53" spans="1:14" ht="37.15" customHeight="1" x14ac:dyDescent="0.2">
      <c r="A53" s="462" t="s">
        <v>240</v>
      </c>
      <c r="B53" s="462"/>
      <c r="C53" s="462"/>
      <c r="D53" s="462"/>
      <c r="E53" s="462"/>
      <c r="F53" s="223" t="s">
        <v>220</v>
      </c>
      <c r="G53" s="488" t="s">
        <v>232</v>
      </c>
      <c r="H53" s="488"/>
      <c r="I53" s="488"/>
      <c r="J53" s="488"/>
      <c r="K53" s="484" t="s">
        <v>36</v>
      </c>
      <c r="L53" s="484"/>
      <c r="M53" s="51"/>
      <c r="N53" s="51"/>
    </row>
    <row r="54" spans="1:14" ht="37.15" customHeight="1" x14ac:dyDescent="0.2">
      <c r="A54" s="463" t="s">
        <v>241</v>
      </c>
      <c r="B54" s="463"/>
      <c r="C54" s="463"/>
      <c r="D54" s="463"/>
      <c r="E54" s="463"/>
      <c r="F54" s="221" t="s">
        <v>236</v>
      </c>
      <c r="G54" s="489" t="s">
        <v>237</v>
      </c>
      <c r="H54" s="489"/>
      <c r="I54" s="489"/>
      <c r="J54" s="489"/>
      <c r="K54" s="485" t="s">
        <v>37</v>
      </c>
      <c r="L54" s="485"/>
      <c r="M54" s="51"/>
      <c r="N54" s="51"/>
    </row>
    <row r="55" spans="1:14" ht="37.15" customHeight="1" x14ac:dyDescent="0.2">
      <c r="A55" s="464" t="s">
        <v>242</v>
      </c>
      <c r="B55" s="464"/>
      <c r="C55" s="464"/>
      <c r="D55" s="464"/>
      <c r="E55" s="464"/>
      <c r="F55" s="228" t="s">
        <v>238</v>
      </c>
      <c r="G55" s="465" t="s">
        <v>237</v>
      </c>
      <c r="H55" s="465"/>
      <c r="I55" s="465"/>
      <c r="J55" s="465"/>
      <c r="K55" s="483" t="s">
        <v>37</v>
      </c>
      <c r="L55" s="483"/>
      <c r="M55" s="51"/>
      <c r="N55" s="51"/>
    </row>
    <row r="56" spans="1:14" ht="12.2" customHeight="1" x14ac:dyDescent="0.25">
      <c r="B56" s="127"/>
      <c r="C56" s="127"/>
      <c r="D56" s="127"/>
      <c r="E56" s="127"/>
      <c r="F56" s="127"/>
      <c r="G56" s="127"/>
      <c r="H56" s="127"/>
      <c r="I56" s="127"/>
      <c r="J56" s="127"/>
      <c r="K56" s="127"/>
      <c r="L56" s="127"/>
      <c r="N56" s="128"/>
    </row>
    <row r="57" spans="1:14" ht="18.75" thickBot="1" x14ac:dyDescent="0.4">
      <c r="A57" s="156" t="s">
        <v>269</v>
      </c>
      <c r="B57" s="146"/>
      <c r="C57" s="146"/>
      <c r="D57" s="146"/>
      <c r="E57" s="146"/>
      <c r="F57" s="146"/>
      <c r="G57" s="146"/>
      <c r="H57" s="146"/>
      <c r="I57" s="146"/>
      <c r="J57" s="146"/>
      <c r="K57" s="147"/>
      <c r="L57" s="147"/>
    </row>
    <row r="58" spans="1:14" ht="19.5" x14ac:dyDescent="0.4">
      <c r="A58" s="472" t="s">
        <v>270</v>
      </c>
      <c r="B58" s="473"/>
      <c r="C58" s="474"/>
      <c r="D58" s="461" t="s">
        <v>146</v>
      </c>
      <c r="E58" s="461"/>
      <c r="F58" s="225" t="s">
        <v>252</v>
      </c>
      <c r="G58" s="148">
        <f>IF('Data Entry'!D32="",0,PI()*('Data Entry'!D32/2)^2*'Data Entry'!L32/1000)</f>
        <v>0</v>
      </c>
      <c r="H58" s="210"/>
      <c r="I58" s="461" t="s">
        <v>188</v>
      </c>
      <c r="J58" s="461"/>
      <c r="K58" s="225" t="s">
        <v>252</v>
      </c>
      <c r="L58" s="149">
        <f>IF('Data Entry'!H32="",0,PI()*('Data Entry'!H32/2)^2*'Data Entry'!L32/1000)</f>
        <v>0</v>
      </c>
    </row>
    <row r="59" spans="1:14" s="154" customFormat="1" ht="8.1" customHeight="1" x14ac:dyDescent="0.3">
      <c r="A59" s="466"/>
      <c r="B59" s="467"/>
      <c r="C59" s="468"/>
      <c r="D59" s="469"/>
      <c r="E59" s="470"/>
      <c r="F59" s="470"/>
      <c r="G59" s="471"/>
      <c r="H59" s="471"/>
      <c r="I59" s="152"/>
      <c r="J59" s="152"/>
      <c r="K59" s="152"/>
      <c r="L59" s="153"/>
    </row>
    <row r="60" spans="1:14" ht="19.5" x14ac:dyDescent="0.4">
      <c r="A60" s="477" t="s">
        <v>271</v>
      </c>
      <c r="B60" s="478"/>
      <c r="C60" s="479"/>
      <c r="D60" s="480" t="s">
        <v>146</v>
      </c>
      <c r="E60" s="480"/>
      <c r="F60" s="226" t="s">
        <v>253</v>
      </c>
      <c r="G60" s="150">
        <f>IF('Data Entry'!H18="",0,PI()*('Data Entry'!H18/2)^2*'Data Entry'!H20/1000)</f>
        <v>0</v>
      </c>
      <c r="H60" s="211"/>
      <c r="I60" s="480" t="s">
        <v>188</v>
      </c>
      <c r="J60" s="480"/>
      <c r="K60" s="226" t="s">
        <v>253</v>
      </c>
      <c r="L60" s="151">
        <f>IF(OR(Spec="NIST HB 105-4",'Data Entry'!H19=""),0,PI()*('Data Entry'!H19/2)^2*'Data Entry'!H20/1000)</f>
        <v>0</v>
      </c>
    </row>
    <row r="61" spans="1:14" ht="12.2" customHeight="1" thickBot="1" x14ac:dyDescent="0.25">
      <c r="A61" s="155"/>
      <c r="B61" s="155"/>
      <c r="C61" s="155"/>
      <c r="D61" s="155"/>
      <c r="E61" s="155"/>
      <c r="F61" s="155"/>
      <c r="G61" s="155"/>
      <c r="H61" s="155"/>
    </row>
    <row r="62" spans="1:14" ht="49.5" x14ac:dyDescent="0.3">
      <c r="A62" s="481" t="s">
        <v>148</v>
      </c>
      <c r="B62" s="482"/>
      <c r="C62" s="158" t="s">
        <v>149</v>
      </c>
      <c r="D62" s="158" t="s">
        <v>150</v>
      </c>
      <c r="E62" s="158" t="s">
        <v>151</v>
      </c>
      <c r="F62" s="159" t="str">
        <f>"Reported Unc 
"&amp;IF(NomVolUnit="","",IF(NomVolUnit="gal","gal","L"))</f>
        <v xml:space="preserve">Reported Unc 
</v>
      </c>
      <c r="G62" s="160" t="s">
        <v>12</v>
      </c>
      <c r="H62" s="161" t="s">
        <v>14</v>
      </c>
      <c r="I62" s="162" t="s">
        <v>152</v>
      </c>
      <c r="J62" s="163" t="str">
        <f>"Standard Unc 
"&amp;IF(NomVolUnit="","",IF(NomVolUnit="gal","gal","L"))</f>
        <v xml:space="preserve">Standard Unc 
</v>
      </c>
      <c r="K62" s="164" t="s">
        <v>153</v>
      </c>
      <c r="L62" s="165" t="s">
        <v>38</v>
      </c>
      <c r="N62" s="157"/>
    </row>
    <row r="63" spans="1:14" ht="19.5" x14ac:dyDescent="0.25">
      <c r="A63" s="475" t="s">
        <v>154</v>
      </c>
      <c r="B63" s="476"/>
      <c r="C63" s="224" t="s">
        <v>220</v>
      </c>
      <c r="D63" s="166">
        <f>IF(Drops="",0,IF(StdU=0,0,StdU/Std_k*Drops))</f>
        <v>0</v>
      </c>
      <c r="E63" s="166" t="str">
        <f>IF(NomVolUnit="","",IF(NomVolUnit="gal","gal","L"))</f>
        <v/>
      </c>
      <c r="F63" s="167">
        <f t="shared" ref="F63:F65" si="0">D63</f>
        <v>0</v>
      </c>
      <c r="G63" s="171" t="s">
        <v>13</v>
      </c>
      <c r="H63" s="172" t="s">
        <v>36</v>
      </c>
      <c r="I63" s="173">
        <v>1</v>
      </c>
      <c r="J63" s="168">
        <f>F63/I63</f>
        <v>0</v>
      </c>
      <c r="K63" s="169" t="str">
        <f>IF($K$66="","",J63^2/$K$66^2)</f>
        <v/>
      </c>
      <c r="L63" s="170">
        <f>Std_df</f>
        <v>0</v>
      </c>
      <c r="N63" s="157"/>
    </row>
    <row r="64" spans="1:14" ht="19.5" x14ac:dyDescent="0.25">
      <c r="A64" s="475" t="s">
        <v>145</v>
      </c>
      <c r="B64" s="476"/>
      <c r="C64" s="224" t="s">
        <v>236</v>
      </c>
      <c r="D64" s="166">
        <f>IF(NomVolUnit="gal",SUM(G58,L58)/3785.412,SUM(G58,L58)/1000)</f>
        <v>0</v>
      </c>
      <c r="E64" s="166" t="str">
        <f>IF(NomVolUnit="","",IF(NomVolUnit="gal","gal","L"))</f>
        <v/>
      </c>
      <c r="F64" s="167">
        <f t="shared" si="0"/>
        <v>0</v>
      </c>
      <c r="G64" s="171" t="s">
        <v>13</v>
      </c>
      <c r="H64" s="172" t="s">
        <v>37</v>
      </c>
      <c r="I64" s="173">
        <f>SQRT(6)</f>
        <v>2.4494897427831779</v>
      </c>
      <c r="J64" s="168">
        <f>F64/I64</f>
        <v>0</v>
      </c>
      <c r="K64" s="169" t="str">
        <f>IF($K$66="","",J64^2*Drops/$K$66^2)</f>
        <v/>
      </c>
      <c r="L64" s="170">
        <f t="shared" ref="L64:L65" si="1">IF(J64=0,1,10000)</f>
        <v>1</v>
      </c>
      <c r="N64" s="157"/>
    </row>
    <row r="65" spans="1:14" ht="19.5" x14ac:dyDescent="0.25">
      <c r="A65" s="475" t="s">
        <v>147</v>
      </c>
      <c r="B65" s="476"/>
      <c r="C65" s="224" t="s">
        <v>238</v>
      </c>
      <c r="D65" s="166">
        <f>IF(NomVolUnit="gal",SUM(G60,L60)/3785.412,SUM(G60,L60)/1000)</f>
        <v>0</v>
      </c>
      <c r="E65" s="166" t="str">
        <f>IF(NomVolUnit="","",IF(NomVolUnit="gal","gal","L"))</f>
        <v/>
      </c>
      <c r="F65" s="167">
        <f t="shared" si="0"/>
        <v>0</v>
      </c>
      <c r="G65" s="171" t="s">
        <v>13</v>
      </c>
      <c r="H65" s="172" t="s">
        <v>37</v>
      </c>
      <c r="I65" s="173">
        <f>SQRT(6)</f>
        <v>2.4494897427831779</v>
      </c>
      <c r="J65" s="168">
        <f t="shared" ref="J65" si="2">F65/I65</f>
        <v>0</v>
      </c>
      <c r="K65" s="169" t="str">
        <f>IF($K$66="","",J65^2*Intervals/$K$66^2)</f>
        <v/>
      </c>
      <c r="L65" s="170">
        <f t="shared" si="1"/>
        <v>1</v>
      </c>
      <c r="N65" s="157"/>
    </row>
    <row r="66" spans="1:14" ht="17.45" customHeight="1" x14ac:dyDescent="0.25">
      <c r="A66" s="174"/>
      <c r="B66" s="175"/>
      <c r="C66" s="175"/>
      <c r="D66" s="175"/>
      <c r="E66" s="175"/>
      <c r="F66" s="175"/>
      <c r="G66" s="175"/>
      <c r="H66" s="175"/>
      <c r="I66" s="175"/>
      <c r="J66" s="176" t="s">
        <v>244</v>
      </c>
      <c r="K66" s="195" t="str">
        <f>IF(SUM(J63:J65)=0,"",SQRT(J63^2+(Drops*J64^2)+(Intervals*J65^2)))</f>
        <v/>
      </c>
      <c r="L66" s="177" t="str">
        <f>IF(NomVolUnit="","",IF(NomVolUnit="gal","gal","L"))</f>
        <v/>
      </c>
      <c r="N66" s="178"/>
    </row>
    <row r="67" spans="1:14" ht="19.5" x14ac:dyDescent="0.25">
      <c r="A67" s="179"/>
      <c r="B67" s="175"/>
      <c r="C67" s="175"/>
      <c r="D67" s="175"/>
      <c r="E67" s="175"/>
      <c r="F67" s="175"/>
      <c r="G67" s="175"/>
      <c r="H67" s="175"/>
      <c r="I67" s="175"/>
      <c r="J67" s="176" t="s">
        <v>245</v>
      </c>
      <c r="K67" s="195" t="str">
        <f>IF(MAX(L63:L65)=1,"",ROUNDDOWN(K66^4/((J63^4/L63)+((J64^2*Drops)^2/L64)+((J65^2*Intervals)^2/L65)),0))</f>
        <v/>
      </c>
      <c r="L67" s="177"/>
      <c r="N67" s="178"/>
    </row>
    <row r="68" spans="1:14" ht="16.5" x14ac:dyDescent="0.25">
      <c r="A68" s="174"/>
      <c r="B68" s="175"/>
      <c r="C68" s="175"/>
      <c r="D68" s="175"/>
      <c r="E68" s="175"/>
      <c r="F68" s="175"/>
      <c r="G68" s="175"/>
      <c r="H68" s="175"/>
      <c r="I68" s="175"/>
      <c r="J68" s="176" t="s">
        <v>210</v>
      </c>
      <c r="K68" s="195" t="str">
        <f>IF(K67="","",ROUND(TINV(0.0455,K67),3))</f>
        <v/>
      </c>
      <c r="L68" s="177"/>
      <c r="N68" s="178"/>
    </row>
    <row r="69" spans="1:14" ht="19.5" x14ac:dyDescent="0.25">
      <c r="A69" s="174"/>
      <c r="B69" s="175"/>
      <c r="C69" s="175"/>
      <c r="D69" s="175"/>
      <c r="E69" s="175"/>
      <c r="F69" s="175"/>
      <c r="G69" s="175"/>
      <c r="H69" s="175"/>
      <c r="I69" s="175"/>
      <c r="J69" s="176" t="s">
        <v>243</v>
      </c>
      <c r="K69" s="195" t="str">
        <f>IF(K66="","",ROUNDUP(K66*K68,2-1-INT(LOG10(ABS(K66*K68)))))</f>
        <v/>
      </c>
      <c r="L69" s="177" t="str">
        <f>IF(NomVolUnit="","",IF(NomVolUnit="gal","gal","L"))</f>
        <v/>
      </c>
      <c r="N69" s="157"/>
    </row>
    <row r="70" spans="1:14" ht="19.5" x14ac:dyDescent="0.25">
      <c r="A70" s="208"/>
      <c r="B70" s="209"/>
      <c r="C70" s="209"/>
      <c r="D70" s="209"/>
      <c r="E70" s="209"/>
      <c r="F70" s="209"/>
      <c r="G70" s="209"/>
      <c r="H70" s="209"/>
      <c r="I70" s="209"/>
      <c r="J70" s="176" t="s">
        <v>243</v>
      </c>
      <c r="K70" s="195" t="str">
        <f>IF(K67="","",ROUNDUP(K66*231*K68,2-1-INT(LOG10(ABS(K66*231*K68)))))</f>
        <v/>
      </c>
      <c r="L70" s="177" t="str">
        <f>IF(NomVolUnit="","",IF(NomVolUnit="gal","in³","mL"))</f>
        <v/>
      </c>
      <c r="N70" s="157"/>
    </row>
    <row r="71" spans="1:14" ht="12.2" customHeight="1" x14ac:dyDescent="0.25">
      <c r="A71" s="180" t="str">
        <f>"Values in "&amp;L69</f>
        <v xml:space="preserve">Values in </v>
      </c>
      <c r="B71" s="127"/>
      <c r="C71" s="127"/>
      <c r="D71" s="127"/>
      <c r="E71" s="127"/>
      <c r="F71" s="127"/>
      <c r="G71" s="127"/>
      <c r="H71" s="127"/>
      <c r="I71" s="127"/>
      <c r="J71" s="127"/>
      <c r="K71" s="127"/>
      <c r="L71" s="127"/>
      <c r="N71" s="128"/>
    </row>
    <row r="72" spans="1:14" ht="15" x14ac:dyDescent="0.25">
      <c r="A72" s="181"/>
      <c r="B72" s="181"/>
      <c r="C72" s="181"/>
      <c r="D72" s="181"/>
      <c r="E72" s="181"/>
      <c r="F72" s="181"/>
      <c r="G72" s="181"/>
      <c r="H72" s="181"/>
      <c r="I72" s="181"/>
      <c r="J72" s="181"/>
      <c r="K72" s="181"/>
      <c r="L72" s="128"/>
      <c r="M72" s="128"/>
      <c r="N72" s="128"/>
    </row>
    <row r="73" spans="1:14" ht="15" x14ac:dyDescent="0.25">
      <c r="A73" s="181"/>
      <c r="B73" s="181"/>
      <c r="C73" s="181"/>
      <c r="D73" s="181"/>
      <c r="E73" s="181"/>
      <c r="F73" s="181"/>
      <c r="G73" s="181"/>
      <c r="H73" s="181"/>
      <c r="I73" s="181"/>
      <c r="J73" s="181"/>
      <c r="K73" s="181"/>
      <c r="L73" s="128"/>
      <c r="M73" s="128"/>
      <c r="N73" s="128"/>
    </row>
    <row r="74" spans="1:14" ht="15" x14ac:dyDescent="0.25">
      <c r="A74" s="181"/>
      <c r="B74" s="181"/>
      <c r="C74" s="181"/>
      <c r="D74" s="181"/>
      <c r="E74" s="181"/>
      <c r="F74" s="181"/>
      <c r="G74" s="181"/>
      <c r="H74" s="181"/>
      <c r="I74" s="181"/>
      <c r="J74" s="181"/>
      <c r="K74" s="181"/>
      <c r="L74" s="128"/>
      <c r="M74" s="128"/>
      <c r="N74" s="128"/>
    </row>
    <row r="75" spans="1:14" ht="15" x14ac:dyDescent="0.25">
      <c r="A75" s="181"/>
      <c r="B75" s="181"/>
      <c r="C75" s="181"/>
      <c r="D75" s="181"/>
      <c r="E75" s="181"/>
      <c r="F75" s="181"/>
      <c r="G75" s="181"/>
      <c r="H75" s="181"/>
      <c r="I75" s="181"/>
      <c r="J75" s="181"/>
      <c r="K75" s="181"/>
      <c r="L75" s="128"/>
      <c r="M75" s="128"/>
      <c r="N75" s="128"/>
    </row>
    <row r="76" spans="1:14" ht="15" x14ac:dyDescent="0.25">
      <c r="A76" s="181"/>
      <c r="B76" s="181"/>
      <c r="C76" s="181"/>
      <c r="D76" s="181"/>
      <c r="E76" s="181"/>
      <c r="F76" s="181"/>
      <c r="G76" s="181"/>
      <c r="H76" s="181"/>
      <c r="I76" s="181"/>
      <c r="J76" s="181"/>
      <c r="K76" s="181"/>
      <c r="L76" s="128"/>
      <c r="M76" s="128"/>
      <c r="N76" s="128"/>
    </row>
    <row r="77" spans="1:14" ht="15" x14ac:dyDescent="0.25">
      <c r="A77" s="181"/>
      <c r="B77" s="181"/>
      <c r="C77" s="181"/>
      <c r="D77" s="181"/>
      <c r="E77" s="181"/>
      <c r="F77" s="181"/>
      <c r="G77" s="181"/>
      <c r="H77" s="181"/>
      <c r="I77" s="181"/>
      <c r="J77" s="181"/>
      <c r="K77" s="181"/>
      <c r="L77" s="128"/>
      <c r="M77" s="128"/>
      <c r="N77" s="128"/>
    </row>
    <row r="78" spans="1:14" ht="15" x14ac:dyDescent="0.25">
      <c r="A78" s="181"/>
      <c r="B78" s="181"/>
      <c r="C78" s="181"/>
      <c r="D78" s="181"/>
      <c r="E78" s="181"/>
      <c r="F78" s="181"/>
      <c r="G78" s="181"/>
      <c r="H78" s="181"/>
      <c r="I78" s="181"/>
      <c r="J78" s="181"/>
      <c r="K78" s="181"/>
      <c r="L78" s="128"/>
      <c r="M78" s="128"/>
      <c r="N78" s="128"/>
    </row>
    <row r="79" spans="1:14" ht="15" x14ac:dyDescent="0.25">
      <c r="A79" s="181"/>
      <c r="B79" s="181"/>
      <c r="C79" s="181"/>
      <c r="D79" s="181"/>
      <c r="E79" s="181"/>
      <c r="F79" s="181"/>
      <c r="G79" s="181"/>
      <c r="H79" s="181"/>
      <c r="I79" s="181"/>
      <c r="J79" s="181"/>
      <c r="K79" s="181"/>
      <c r="L79" s="128"/>
      <c r="M79" s="128"/>
      <c r="N79" s="128"/>
    </row>
    <row r="80" spans="1:14" ht="15" x14ac:dyDescent="0.25">
      <c r="A80" s="181"/>
      <c r="B80" s="181"/>
      <c r="C80" s="181"/>
      <c r="D80" s="181"/>
      <c r="E80" s="181"/>
      <c r="F80" s="181"/>
      <c r="G80" s="181"/>
      <c r="H80" s="181"/>
      <c r="I80" s="181"/>
      <c r="J80" s="181"/>
      <c r="K80" s="181"/>
      <c r="L80" s="128"/>
      <c r="M80" s="128"/>
      <c r="N80" s="128"/>
    </row>
    <row r="81" spans="1:14" ht="15" x14ac:dyDescent="0.25">
      <c r="A81" s="181"/>
      <c r="B81" s="181"/>
      <c r="C81" s="181"/>
      <c r="D81" s="181"/>
      <c r="E81" s="181"/>
      <c r="F81" s="181"/>
      <c r="G81" s="181"/>
      <c r="H81" s="181"/>
      <c r="I81" s="181"/>
      <c r="J81" s="181"/>
      <c r="K81" s="181"/>
      <c r="L81" s="128"/>
      <c r="M81" s="128"/>
      <c r="N81" s="128"/>
    </row>
    <row r="82" spans="1:14" ht="15" x14ac:dyDescent="0.25">
      <c r="A82" s="181"/>
      <c r="B82" s="181"/>
      <c r="C82" s="181"/>
      <c r="D82" s="181"/>
      <c r="E82" s="181"/>
      <c r="F82" s="181"/>
      <c r="G82" s="181"/>
      <c r="H82" s="181"/>
      <c r="I82" s="181"/>
      <c r="J82" s="181"/>
      <c r="K82" s="181"/>
      <c r="L82" s="128"/>
      <c r="M82" s="128"/>
      <c r="N82" s="128"/>
    </row>
    <row r="83" spans="1:14" ht="15" x14ac:dyDescent="0.25">
      <c r="A83" s="181"/>
      <c r="B83" s="181"/>
      <c r="C83" s="181"/>
      <c r="D83" s="181"/>
      <c r="E83" s="181"/>
      <c r="F83" s="181"/>
      <c r="G83" s="181"/>
      <c r="H83" s="181"/>
      <c r="I83" s="181"/>
      <c r="J83" s="181"/>
      <c r="K83" s="181"/>
      <c r="L83" s="128"/>
      <c r="M83" s="128"/>
      <c r="N83" s="128"/>
    </row>
    <row r="84" spans="1:14" ht="15" x14ac:dyDescent="0.25">
      <c r="A84" s="181"/>
      <c r="B84" s="181"/>
      <c r="C84" s="181"/>
      <c r="D84" s="181"/>
      <c r="E84" s="181"/>
      <c r="F84" s="181"/>
      <c r="G84" s="181"/>
      <c r="H84" s="181"/>
      <c r="I84" s="181"/>
      <c r="J84" s="181"/>
      <c r="K84" s="181"/>
      <c r="L84" s="128"/>
      <c r="M84" s="128"/>
      <c r="N84" s="128"/>
    </row>
    <row r="85" spans="1:14" ht="15" x14ac:dyDescent="0.25">
      <c r="A85" s="181"/>
      <c r="B85" s="181"/>
      <c r="C85" s="181"/>
      <c r="D85" s="181"/>
      <c r="E85" s="181"/>
      <c r="F85" s="181"/>
      <c r="G85" s="181"/>
      <c r="H85" s="181"/>
      <c r="I85" s="181"/>
      <c r="J85" s="181"/>
      <c r="K85" s="181"/>
      <c r="L85" s="128"/>
      <c r="M85" s="128"/>
      <c r="N85" s="128"/>
    </row>
    <row r="86" spans="1:14" ht="15" x14ac:dyDescent="0.25">
      <c r="A86" s="181"/>
      <c r="B86" s="181"/>
      <c r="C86" s="181"/>
      <c r="D86" s="181"/>
      <c r="E86" s="181"/>
      <c r="F86" s="181"/>
      <c r="G86" s="181"/>
      <c r="H86" s="181"/>
      <c r="I86" s="181"/>
      <c r="J86" s="181"/>
      <c r="K86" s="181"/>
      <c r="L86" s="128"/>
      <c r="M86" s="128"/>
      <c r="N86" s="128"/>
    </row>
    <row r="87" spans="1:14" ht="15" x14ac:dyDescent="0.25">
      <c r="A87" s="181"/>
      <c r="B87" s="181"/>
      <c r="C87" s="181"/>
      <c r="D87" s="181"/>
      <c r="E87" s="181"/>
      <c r="F87" s="181"/>
      <c r="G87" s="181"/>
      <c r="H87" s="181"/>
      <c r="I87" s="181"/>
      <c r="J87" s="181"/>
      <c r="K87" s="181"/>
      <c r="L87" s="128"/>
      <c r="M87" s="128"/>
      <c r="N87" s="128"/>
    </row>
    <row r="88" spans="1:14" ht="15" x14ac:dyDescent="0.25">
      <c r="A88" s="181"/>
      <c r="B88" s="181"/>
      <c r="C88" s="181"/>
      <c r="D88" s="181"/>
      <c r="E88" s="181"/>
      <c r="F88" s="181"/>
      <c r="G88" s="181"/>
      <c r="H88" s="181"/>
      <c r="I88" s="181"/>
      <c r="J88" s="181"/>
      <c r="K88" s="181"/>
      <c r="L88" s="128"/>
      <c r="M88" s="128"/>
      <c r="N88" s="128"/>
    </row>
    <row r="89" spans="1:14" ht="15" x14ac:dyDescent="0.25">
      <c r="A89" s="181"/>
      <c r="B89" s="181"/>
      <c r="C89" s="181"/>
      <c r="D89" s="181"/>
      <c r="E89" s="181"/>
      <c r="F89" s="181"/>
      <c r="G89" s="181"/>
      <c r="H89" s="181"/>
      <c r="I89" s="181"/>
      <c r="J89" s="181"/>
      <c r="K89" s="181"/>
      <c r="L89" s="128"/>
      <c r="M89" s="128"/>
      <c r="N89" s="128"/>
    </row>
    <row r="90" spans="1:14" ht="15" hidden="1" x14ac:dyDescent="0.25">
      <c r="A90" s="181"/>
      <c r="B90" s="181"/>
      <c r="C90" s="181"/>
      <c r="D90" s="181"/>
      <c r="E90" s="181"/>
      <c r="F90" s="181"/>
      <c r="G90" s="181"/>
      <c r="H90" s="181"/>
      <c r="I90" s="181"/>
      <c r="J90" s="181"/>
      <c r="K90" s="181"/>
      <c r="L90" s="128"/>
      <c r="M90" s="128"/>
      <c r="N90" s="128"/>
    </row>
    <row r="91" spans="1:14" ht="15" hidden="1" x14ac:dyDescent="0.25">
      <c r="A91" s="181"/>
      <c r="B91" s="181"/>
      <c r="C91" s="181"/>
      <c r="D91" s="181"/>
      <c r="E91" s="181"/>
      <c r="F91" s="181"/>
      <c r="G91" s="181"/>
      <c r="H91" s="181"/>
      <c r="I91" s="181"/>
      <c r="J91" s="181"/>
      <c r="K91" s="181"/>
      <c r="L91" s="128"/>
      <c r="M91" s="128"/>
      <c r="N91" s="128"/>
    </row>
    <row r="92" spans="1:14" ht="15" hidden="1" x14ac:dyDescent="0.25">
      <c r="A92" s="181"/>
      <c r="B92" s="181"/>
      <c r="C92" s="181"/>
      <c r="D92" s="181"/>
      <c r="E92" s="181"/>
      <c r="F92" s="181"/>
      <c r="G92" s="181"/>
      <c r="H92" s="181"/>
      <c r="I92" s="181"/>
      <c r="J92" s="181"/>
      <c r="K92" s="181"/>
      <c r="L92" s="128"/>
      <c r="M92" s="128"/>
      <c r="N92" s="128"/>
    </row>
    <row r="93" spans="1:14" ht="15" hidden="1" x14ac:dyDescent="0.25">
      <c r="A93" s="128"/>
      <c r="B93" s="128"/>
      <c r="C93" s="128"/>
      <c r="D93" s="128"/>
      <c r="E93" s="128"/>
      <c r="F93" s="128"/>
      <c r="G93" s="128"/>
      <c r="H93" s="128"/>
      <c r="I93" s="128"/>
      <c r="J93" s="128"/>
      <c r="K93" s="128"/>
      <c r="L93" s="128"/>
      <c r="M93" s="128"/>
      <c r="N93" s="128"/>
    </row>
    <row r="94" spans="1:14" ht="15" hidden="1" x14ac:dyDescent="0.25">
      <c r="A94" s="128"/>
      <c r="B94" s="128"/>
      <c r="C94" s="128"/>
      <c r="D94" s="128"/>
      <c r="E94" s="128"/>
      <c r="F94" s="128"/>
      <c r="G94" s="128"/>
      <c r="H94" s="128"/>
      <c r="I94" s="128"/>
      <c r="J94" s="128"/>
      <c r="K94" s="128"/>
      <c r="L94" s="128"/>
      <c r="M94" s="128"/>
      <c r="N94" s="128"/>
    </row>
    <row r="95" spans="1:14" ht="15" hidden="1" x14ac:dyDescent="0.25">
      <c r="A95" s="128"/>
      <c r="B95" s="128"/>
      <c r="C95" s="128"/>
      <c r="D95" s="128"/>
      <c r="E95" s="128"/>
      <c r="F95" s="128"/>
      <c r="G95" s="128"/>
      <c r="H95" s="128"/>
      <c r="I95" s="128"/>
      <c r="J95" s="128"/>
      <c r="K95" s="128"/>
      <c r="L95" s="128"/>
      <c r="M95" s="128"/>
      <c r="N95" s="128"/>
    </row>
    <row r="96" spans="1:14" ht="15" hidden="1" x14ac:dyDescent="0.25">
      <c r="A96" s="128"/>
      <c r="B96" s="128"/>
      <c r="C96" s="128"/>
      <c r="D96" s="128"/>
      <c r="E96" s="128"/>
      <c r="F96" s="128"/>
      <c r="G96" s="128"/>
      <c r="H96" s="128"/>
      <c r="I96" s="128"/>
      <c r="J96" s="128"/>
      <c r="K96" s="128"/>
      <c r="L96" s="128"/>
      <c r="M96" s="128"/>
      <c r="N96" s="128"/>
    </row>
    <row r="97" spans="1:14" ht="15" hidden="1" x14ac:dyDescent="0.25">
      <c r="A97" s="128"/>
      <c r="B97" s="128"/>
      <c r="C97" s="128"/>
      <c r="D97" s="128"/>
      <c r="E97" s="128"/>
      <c r="F97" s="128"/>
      <c r="G97" s="128"/>
      <c r="H97" s="128"/>
      <c r="I97" s="128"/>
      <c r="J97" s="128"/>
      <c r="K97" s="128"/>
      <c r="L97" s="128"/>
      <c r="M97" s="128"/>
      <c r="N97" s="128"/>
    </row>
    <row r="98" spans="1:14" ht="15" hidden="1" x14ac:dyDescent="0.25">
      <c r="A98" s="128"/>
      <c r="B98" s="128"/>
      <c r="C98" s="128"/>
      <c r="D98" s="128"/>
      <c r="E98" s="128"/>
      <c r="F98" s="128"/>
      <c r="G98" s="128"/>
      <c r="H98" s="128"/>
      <c r="I98" s="128"/>
      <c r="J98" s="128"/>
      <c r="K98" s="128"/>
      <c r="L98" s="128"/>
      <c r="M98" s="128"/>
      <c r="N98" s="128"/>
    </row>
    <row r="99" spans="1:14" ht="15" hidden="1" x14ac:dyDescent="0.25">
      <c r="A99" s="128"/>
      <c r="B99" s="128"/>
      <c r="C99" s="128"/>
      <c r="D99" s="128"/>
      <c r="E99" s="128"/>
      <c r="F99" s="128"/>
      <c r="G99" s="128"/>
      <c r="H99" s="128"/>
      <c r="I99" s="128"/>
      <c r="J99" s="128"/>
      <c r="K99" s="128"/>
      <c r="L99" s="128"/>
      <c r="M99" s="128"/>
      <c r="N99" s="128"/>
    </row>
    <row r="100" spans="1:14" ht="15" hidden="1" x14ac:dyDescent="0.25">
      <c r="A100" s="128"/>
      <c r="B100" s="128"/>
      <c r="C100" s="128"/>
      <c r="D100" s="128"/>
      <c r="E100" s="128"/>
      <c r="F100" s="128"/>
      <c r="G100" s="128"/>
      <c r="H100" s="128"/>
      <c r="I100" s="128"/>
      <c r="J100" s="128"/>
      <c r="K100" s="128"/>
      <c r="L100" s="128"/>
      <c r="M100" s="128"/>
      <c r="N100" s="128"/>
    </row>
    <row r="101" spans="1:14" ht="14.25" hidden="1" customHeight="1" x14ac:dyDescent="0.25"/>
    <row r="102" spans="1:14" ht="14.25" hidden="1" x14ac:dyDescent="0.25">
      <c r="F102" s="182"/>
    </row>
    <row r="103" spans="1:14" ht="14.25" hidden="1" customHeight="1" x14ac:dyDescent="0.25"/>
    <row r="104" spans="1:14" ht="14.25" hidden="1" customHeight="1" x14ac:dyDescent="0.25"/>
    <row r="105" spans="1:14" ht="14.25" hidden="1" customHeight="1" x14ac:dyDescent="0.25"/>
    <row r="106" spans="1:14" ht="14.25" hidden="1" customHeight="1" x14ac:dyDescent="0.25"/>
    <row r="107" spans="1:14" ht="14.25" hidden="1" customHeight="1" x14ac:dyDescent="0.25"/>
    <row r="108" spans="1:14" ht="14.25" hidden="1" customHeight="1" x14ac:dyDescent="0.25"/>
    <row r="109" spans="1:14" ht="14.25" hidden="1" customHeight="1" x14ac:dyDescent="0.25"/>
    <row r="110" spans="1:14" ht="14.25" hidden="1" customHeight="1" x14ac:dyDescent="0.25"/>
    <row r="111" spans="1:14" ht="14.25" hidden="1" customHeight="1" x14ac:dyDescent="0.25"/>
    <row r="112" spans="1:14" ht="14.25" hidden="1" customHeight="1" x14ac:dyDescent="0.25"/>
    <row r="113" ht="14.25" hidden="1" customHeight="1" x14ac:dyDescent="0.25"/>
    <row r="114" ht="14.25" hidden="1" customHeight="1" x14ac:dyDescent="0.25"/>
    <row r="115" ht="14.25" hidden="1" customHeight="1" x14ac:dyDescent="0.25"/>
    <row r="116" ht="14.25" hidden="1" customHeight="1" x14ac:dyDescent="0.25"/>
    <row r="117" ht="14.25" hidden="1" customHeight="1" x14ac:dyDescent="0.25"/>
    <row r="118" ht="14.25" hidden="1" customHeight="1" x14ac:dyDescent="0.25"/>
    <row r="119" ht="14.25" hidden="1" customHeight="1" x14ac:dyDescent="0.25"/>
    <row r="120" ht="14.25" hidden="1" customHeight="1" x14ac:dyDescent="0.25"/>
    <row r="121" ht="14.25" hidden="1" customHeight="1" x14ac:dyDescent="0.25"/>
    <row r="122" ht="14.25" hidden="1" customHeight="1" x14ac:dyDescent="0.25"/>
    <row r="123" ht="14.25" hidden="1" customHeight="1" x14ac:dyDescent="0.25"/>
    <row r="124" ht="14.25" hidden="1" customHeight="1" x14ac:dyDescent="0.25"/>
    <row r="125" ht="14.25" hidden="1" customHeight="1" x14ac:dyDescent="0.25"/>
    <row r="126" ht="14.25" hidden="1" customHeight="1" x14ac:dyDescent="0.25"/>
    <row r="127" ht="14.25" hidden="1" customHeight="1" x14ac:dyDescent="0.25"/>
    <row r="128"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row r="149" ht="14.25" hidden="1" customHeight="1" x14ac:dyDescent="0.25"/>
    <row r="150" ht="14.25" hidden="1" customHeight="1" x14ac:dyDescent="0.25"/>
    <row r="151" ht="14.25" hidden="1" customHeight="1" x14ac:dyDescent="0.25"/>
    <row r="152" ht="14.25" hidden="1" customHeight="1" x14ac:dyDescent="0.25"/>
    <row r="153" ht="14.25" hidden="1" customHeight="1" x14ac:dyDescent="0.25"/>
    <row r="154" ht="14.25" hidden="1" customHeight="1" x14ac:dyDescent="0.25"/>
    <row r="155" ht="14.25" hidden="1" customHeight="1" x14ac:dyDescent="0.25"/>
    <row r="156" ht="14.25" hidden="1" customHeight="1" x14ac:dyDescent="0.25"/>
    <row r="157" ht="14.25" hidden="1" customHeight="1" x14ac:dyDescent="0.25"/>
    <row r="158" ht="14.25" hidden="1" customHeight="1" x14ac:dyDescent="0.25"/>
    <row r="159" ht="14.25" hidden="1" customHeight="1" x14ac:dyDescent="0.25"/>
    <row r="160" ht="14.25" hidden="1" customHeight="1" x14ac:dyDescent="0.25"/>
    <row r="161" ht="14.25" hidden="1" customHeight="1" x14ac:dyDescent="0.25"/>
    <row r="162" ht="14.25" hidden="1" customHeight="1" x14ac:dyDescent="0.25"/>
    <row r="163" ht="14.25" hidden="1" customHeight="1" x14ac:dyDescent="0.25"/>
    <row r="164" ht="14.25" hidden="1" customHeight="1" x14ac:dyDescent="0.25"/>
    <row r="165" ht="14.25" hidden="1" customHeight="1" x14ac:dyDescent="0.25"/>
    <row r="166" ht="14.25" hidden="1" customHeight="1" x14ac:dyDescent="0.25"/>
    <row r="167" ht="14.25" hidden="1" customHeight="1" x14ac:dyDescent="0.25"/>
    <row r="168" ht="14.25" hidden="1" customHeight="1" x14ac:dyDescent="0.25"/>
    <row r="169" ht="14.25" hidden="1" customHeight="1" x14ac:dyDescent="0.25"/>
    <row r="170" ht="14.25" hidden="1" customHeight="1" x14ac:dyDescent="0.25"/>
    <row r="171" ht="14.25" hidden="1" customHeight="1" x14ac:dyDescent="0.25"/>
    <row r="172" ht="14.25" hidden="1" customHeight="1" x14ac:dyDescent="0.25"/>
    <row r="173" ht="14.25" hidden="1" customHeight="1" x14ac:dyDescent="0.25"/>
    <row r="174" ht="14.25" hidden="1" customHeight="1" x14ac:dyDescent="0.25"/>
    <row r="175" ht="14.25" hidden="1" customHeight="1" x14ac:dyDescent="0.25"/>
    <row r="176" ht="14.25" hidden="1" customHeight="1" x14ac:dyDescent="0.25"/>
    <row r="177" ht="14.25" hidden="1" customHeight="1" x14ac:dyDescent="0.25"/>
    <row r="178" ht="14.25" hidden="1" customHeight="1" x14ac:dyDescent="0.25"/>
    <row r="179" ht="14.25" hidden="1" customHeight="1" x14ac:dyDescent="0.25"/>
    <row r="180" ht="14.25" hidden="1" customHeight="1" x14ac:dyDescent="0.25"/>
    <row r="181" ht="14.25" hidden="1" customHeight="1" x14ac:dyDescent="0.25"/>
    <row r="182" ht="14.25" hidden="1" customHeight="1" x14ac:dyDescent="0.25"/>
    <row r="183" ht="14.25" hidden="1" customHeight="1" x14ac:dyDescent="0.25"/>
    <row r="184" ht="14.25" hidden="1" customHeight="1" x14ac:dyDescent="0.25"/>
    <row r="185" ht="14.25" hidden="1" customHeight="1" x14ac:dyDescent="0.25"/>
    <row r="186" ht="14.25" hidden="1" customHeight="1" x14ac:dyDescent="0.25"/>
    <row r="187" ht="14.25" hidden="1" customHeight="1" x14ac:dyDescent="0.25"/>
    <row r="188" ht="18" hidden="1" customHeight="1" x14ac:dyDescent="0.25"/>
    <row r="189" ht="14.25" hidden="1" customHeight="1" x14ac:dyDescent="0.25"/>
    <row r="190" ht="14.25" hidden="1" customHeight="1" x14ac:dyDescent="0.25"/>
    <row r="191" ht="14.25" hidden="1" customHeight="1" x14ac:dyDescent="0.25"/>
    <row r="192" ht="14.25" hidden="1" customHeight="1" x14ac:dyDescent="0.25"/>
    <row r="193" ht="14.25" hidden="1" customHeight="1" x14ac:dyDescent="0.25"/>
    <row r="194" ht="14.25" hidden="1" customHeight="1" x14ac:dyDescent="0.25"/>
    <row r="195" ht="14.25" hidden="1" customHeight="1" x14ac:dyDescent="0.25"/>
    <row r="196" ht="14.25" hidden="1" customHeight="1" x14ac:dyDescent="0.25"/>
    <row r="197" ht="14.25" hidden="1" customHeight="1" x14ac:dyDescent="0.25"/>
    <row r="198" ht="14.25" hidden="1" customHeight="1" x14ac:dyDescent="0.25"/>
    <row r="199" ht="14.25" hidden="1" customHeight="1" x14ac:dyDescent="0.25"/>
    <row r="200" ht="14.25" hidden="1" customHeight="1" x14ac:dyDescent="0.25"/>
    <row r="201" ht="14.25" hidden="1" customHeight="1" x14ac:dyDescent="0.25"/>
    <row r="202" ht="14.25" hidden="1" customHeight="1" x14ac:dyDescent="0.25"/>
    <row r="203" ht="14.25" hidden="1" customHeight="1" x14ac:dyDescent="0.25"/>
    <row r="204" ht="14.25" hidden="1" customHeight="1" x14ac:dyDescent="0.25"/>
    <row r="205" ht="14.25" hidden="1" customHeight="1" x14ac:dyDescent="0.25"/>
    <row r="206" ht="14.25" hidden="1" customHeight="1" x14ac:dyDescent="0.25"/>
    <row r="207" ht="14.25" hidden="1" customHeight="1" x14ac:dyDescent="0.25"/>
    <row r="208" ht="14.25" hidden="1" customHeight="1" x14ac:dyDescent="0.25"/>
  </sheetData>
  <sheetProtection selectLockedCells="1" selectUnlockedCells="1"/>
  <mergeCells count="42">
    <mergeCell ref="C39:L39"/>
    <mergeCell ref="C40:L40"/>
    <mergeCell ref="C42:L42"/>
    <mergeCell ref="C41:L41"/>
    <mergeCell ref="K55:L55"/>
    <mergeCell ref="K53:L53"/>
    <mergeCell ref="K54:L54"/>
    <mergeCell ref="G52:J52"/>
    <mergeCell ref="G53:J53"/>
    <mergeCell ref="G54:J54"/>
    <mergeCell ref="A52:E52"/>
    <mergeCell ref="K52:L52"/>
    <mergeCell ref="A64:B64"/>
    <mergeCell ref="A65:B65"/>
    <mergeCell ref="A60:C60"/>
    <mergeCell ref="D60:E60"/>
    <mergeCell ref="I60:J60"/>
    <mergeCell ref="A62:B62"/>
    <mergeCell ref="A63:B63"/>
    <mergeCell ref="A59:C59"/>
    <mergeCell ref="D59:F59"/>
    <mergeCell ref="G59:H59"/>
    <mergeCell ref="A58:C58"/>
    <mergeCell ref="D58:E58"/>
    <mergeCell ref="I58:J58"/>
    <mergeCell ref="A53:E53"/>
    <mergeCell ref="A54:E54"/>
    <mergeCell ref="A55:E55"/>
    <mergeCell ref="G55:J55"/>
    <mergeCell ref="C21:L21"/>
    <mergeCell ref="C1:F1"/>
    <mergeCell ref="C13:L13"/>
    <mergeCell ref="C14:L14"/>
    <mergeCell ref="C15:L15"/>
    <mergeCell ref="C16:L16"/>
    <mergeCell ref="C22:L22"/>
    <mergeCell ref="C23:L23"/>
    <mergeCell ref="C24:L24"/>
    <mergeCell ref="C32:L32"/>
    <mergeCell ref="C29:L29"/>
    <mergeCell ref="C30:L30"/>
    <mergeCell ref="C31:L31"/>
  </mergeCells>
  <printOptions horizontalCentered="1"/>
  <pageMargins left="0.5" right="0.5" top="1.25" bottom="0.75" header="0.75" footer="0.5"/>
  <pageSetup scale="80" fitToHeight="10" orientation="landscape" horizontalDpi="4294967293" verticalDpi="1200" r:id="rId1"/>
  <headerFooter alignWithMargins="0">
    <oddHeader>&amp;L&amp;"Trebuchet MS,Regular"Scale Neck Calibration&amp;R&amp;"Trebuchet MS,Regular"WAMRF-003, Ver. 7,
9/26/2018</oddHeader>
    <oddFooter>&amp;L&amp;"Trebuchet MS,Regular"&amp;F&amp;R&amp;"Trebuchet MS,Regular"&amp;A Worksheet Page &amp;P of &amp;N</oddFooter>
  </headerFooter>
  <rowBreaks count="3" manualBreakCount="3">
    <brk id="50" max="16383" man="1"/>
    <brk id="56" max="16383" man="1"/>
    <brk id="71" max="16383" man="1"/>
  </rowBreaks>
  <drawing r:id="rId2"/>
  <legacyDrawing r:id="rId3"/>
  <oleObjects>
    <mc:AlternateContent xmlns:mc="http://schemas.openxmlformats.org/markup-compatibility/2006">
      <mc:Choice Requires="x14">
        <oleObject progId="Equation.3" shapeId="7169" r:id="rId4">
          <objectPr defaultSize="0" autoPict="0" r:id="rId5">
            <anchor moveWithCells="1">
              <from>
                <xdr:col>1</xdr:col>
                <xdr:colOff>4514850</xdr:colOff>
                <xdr:row>21</xdr:row>
                <xdr:rowOff>19050</xdr:rowOff>
              </from>
              <to>
                <xdr:col>2</xdr:col>
                <xdr:colOff>0</xdr:colOff>
                <xdr:row>23</xdr:row>
                <xdr:rowOff>171450</xdr:rowOff>
              </to>
            </anchor>
          </objectPr>
        </oleObject>
      </mc:Choice>
      <mc:Fallback>
        <oleObject progId="Equation.3" shapeId="7169" r:id="rId4"/>
      </mc:Fallback>
    </mc:AlternateContent>
    <mc:AlternateContent xmlns:mc="http://schemas.openxmlformats.org/markup-compatibility/2006">
      <mc:Choice Requires="x14">
        <oleObject progId="Equation.3" shapeId="7184" r:id="rId6">
          <objectPr defaultSize="0" autoPict="0" r:id="rId5">
            <anchor moveWithCells="1">
              <from>
                <xdr:col>1</xdr:col>
                <xdr:colOff>4514850</xdr:colOff>
                <xdr:row>29</xdr:row>
                <xdr:rowOff>19050</xdr:rowOff>
              </from>
              <to>
                <xdr:col>2</xdr:col>
                <xdr:colOff>0</xdr:colOff>
                <xdr:row>31</xdr:row>
                <xdr:rowOff>171450</xdr:rowOff>
              </to>
            </anchor>
          </objectPr>
        </oleObject>
      </mc:Choice>
      <mc:Fallback>
        <oleObject progId="Equation.3" shapeId="7184"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AB29"/>
  <sheetViews>
    <sheetView showGridLines="0" zoomScaleNormal="100" workbookViewId="0"/>
  </sheetViews>
  <sheetFormatPr defaultColWidth="0" defaultRowHeight="15.75" zeroHeight="1" x14ac:dyDescent="0.25"/>
  <cols>
    <col min="1" max="1" width="21.77734375" customWidth="1"/>
    <col min="2" max="2" width="30.77734375" customWidth="1"/>
    <col min="3" max="3" width="35.109375" customWidth="1"/>
    <col min="4" max="4" width="3.77734375" customWidth="1"/>
    <col min="5" max="6" width="16.77734375" style="25" customWidth="1"/>
    <col min="7" max="7" width="19" style="25" customWidth="1"/>
    <col min="8" max="8" width="18.44140625" style="25" customWidth="1"/>
    <col min="9" max="11" width="18.77734375" style="25" customWidth="1"/>
    <col min="12" max="12" width="3.77734375" style="25" customWidth="1"/>
    <col min="13" max="15" width="16.77734375" style="25" customWidth="1"/>
    <col min="16" max="16" width="19.5546875" style="25" customWidth="1"/>
    <col min="17" max="17" width="21" style="25" customWidth="1"/>
    <col min="18" max="18" width="3.77734375" style="25" customWidth="1"/>
    <col min="19" max="19" width="41.88671875" style="25" customWidth="1"/>
    <col min="20" max="20" width="3.77734375" style="25" customWidth="1"/>
    <col min="21" max="28" width="0" style="25" hidden="1" customWidth="1"/>
    <col min="29" max="16384" width="8.88671875" style="25" hidden="1"/>
  </cols>
  <sheetData>
    <row r="1" spans="1:19" customFormat="1" ht="19.5" thickBot="1" x14ac:dyDescent="0.35">
      <c r="A1" s="14" t="s">
        <v>32</v>
      </c>
      <c r="B1" s="15"/>
      <c r="C1" s="15"/>
      <c r="D1" s="30"/>
      <c r="E1" s="15" t="s">
        <v>178</v>
      </c>
      <c r="F1" s="2"/>
      <c r="G1" s="2"/>
      <c r="H1" s="2"/>
      <c r="I1" s="2"/>
      <c r="J1" s="2"/>
      <c r="K1" s="2"/>
      <c r="M1" s="15" t="s">
        <v>184</v>
      </c>
      <c r="N1" s="2"/>
      <c r="O1" s="2"/>
      <c r="P1" s="2"/>
      <c r="Q1" s="2"/>
      <c r="S1" s="2" t="s">
        <v>193</v>
      </c>
    </row>
    <row r="2" spans="1:19" x14ac:dyDescent="0.25">
      <c r="A2" s="25"/>
      <c r="B2" s="25"/>
      <c r="C2" s="25"/>
      <c r="D2" s="30"/>
      <c r="E2" s="31"/>
      <c r="M2" s="31"/>
      <c r="R2"/>
      <c r="S2"/>
    </row>
    <row r="3" spans="1:19" x14ac:dyDescent="0.25">
      <c r="A3" s="494" t="s">
        <v>27</v>
      </c>
      <c r="B3" s="494"/>
      <c r="C3" s="494"/>
      <c r="E3" s="198" t="s">
        <v>179</v>
      </c>
      <c r="F3" s="198" t="s">
        <v>186</v>
      </c>
      <c r="G3" s="198" t="s">
        <v>187</v>
      </c>
      <c r="H3" s="198" t="s">
        <v>181</v>
      </c>
      <c r="I3" s="198" t="s">
        <v>180</v>
      </c>
      <c r="J3" s="198" t="s">
        <v>258</v>
      </c>
      <c r="K3" s="198" t="s">
        <v>259</v>
      </c>
      <c r="M3" s="200" t="s">
        <v>179</v>
      </c>
      <c r="N3" s="200" t="s">
        <v>186</v>
      </c>
      <c r="O3" s="200" t="s">
        <v>189</v>
      </c>
      <c r="P3" s="229" t="s">
        <v>190</v>
      </c>
      <c r="Q3" s="200" t="s">
        <v>257</v>
      </c>
      <c r="S3" s="207" t="str">
        <f>'Data Entry'!D11&amp;" Calibration Reference Temperature (ºF)"</f>
        <v xml:space="preserve"> Calibration Reference Temperature (ºF)</v>
      </c>
    </row>
    <row r="4" spans="1:19" x14ac:dyDescent="0.25">
      <c r="A4" s="28" t="s">
        <v>169</v>
      </c>
      <c r="B4" s="28" t="s">
        <v>24</v>
      </c>
      <c r="C4" s="28" t="s">
        <v>25</v>
      </c>
      <c r="E4" s="198">
        <v>1</v>
      </c>
      <c r="F4" s="198">
        <f>25.4*2.25</f>
        <v>57.15</v>
      </c>
      <c r="G4" s="198">
        <f>25.4*0.5</f>
        <v>12.7</v>
      </c>
      <c r="H4" s="198">
        <v>1E-3</v>
      </c>
      <c r="I4" s="198">
        <v>0.25</v>
      </c>
      <c r="J4" s="198">
        <v>1.4999999999999999E-2</v>
      </c>
      <c r="K4" s="198">
        <v>3.5</v>
      </c>
      <c r="M4" s="200">
        <v>20</v>
      </c>
      <c r="N4" s="200">
        <f>25.4*6</f>
        <v>152.39999999999998</v>
      </c>
      <c r="O4" s="200">
        <v>0.01</v>
      </c>
      <c r="P4" s="201">
        <v>2</v>
      </c>
      <c r="Q4" s="200">
        <v>0.8</v>
      </c>
      <c r="S4" s="207" t="str">
        <f>'Data Entry'!D11&amp;" Calibration Reference Temperature (ºC)"</f>
        <v xml:space="preserve"> Calibration Reference Temperature (ºC)</v>
      </c>
    </row>
    <row r="5" spans="1:19" x14ac:dyDescent="0.25">
      <c r="A5" s="26" t="s">
        <v>174</v>
      </c>
      <c r="B5" s="26" t="s">
        <v>26</v>
      </c>
      <c r="C5" s="26" t="s">
        <v>170</v>
      </c>
      <c r="E5" s="198">
        <v>5</v>
      </c>
      <c r="F5" s="198">
        <f>25.4*3</f>
        <v>76.199999999999989</v>
      </c>
      <c r="G5" s="198">
        <f t="shared" ref="G5:G6" si="0">25.4*0.5</f>
        <v>12.7</v>
      </c>
      <c r="H5" s="198">
        <v>2E-3</v>
      </c>
      <c r="I5" s="198">
        <v>0.5</v>
      </c>
      <c r="J5" s="198">
        <v>7.4999999999999997E-2</v>
      </c>
      <c r="K5" s="198">
        <v>17</v>
      </c>
      <c r="M5" s="200">
        <v>25</v>
      </c>
      <c r="N5" s="200">
        <f>25.4*6</f>
        <v>152.39999999999998</v>
      </c>
      <c r="O5" s="200">
        <v>0.01</v>
      </c>
      <c r="P5" s="201">
        <v>2</v>
      </c>
      <c r="Q5" s="200">
        <v>1</v>
      </c>
      <c r="S5" s="206"/>
    </row>
    <row r="6" spans="1:19" x14ac:dyDescent="0.25">
      <c r="A6" s="26" t="s">
        <v>175</v>
      </c>
      <c r="B6" s="26" t="s">
        <v>28</v>
      </c>
      <c r="C6" s="26" t="s">
        <v>171</v>
      </c>
      <c r="E6" s="198">
        <v>10</v>
      </c>
      <c r="F6" s="198">
        <f>25.4*4</f>
        <v>101.6</v>
      </c>
      <c r="G6" s="198">
        <f t="shared" si="0"/>
        <v>12.7</v>
      </c>
      <c r="H6" s="198">
        <v>5.0000000000000001E-3</v>
      </c>
      <c r="I6" s="198">
        <v>1</v>
      </c>
      <c r="J6" s="198">
        <v>0.15</v>
      </c>
      <c r="K6" s="198">
        <v>35</v>
      </c>
      <c r="M6" s="200">
        <v>50</v>
      </c>
      <c r="N6" s="200">
        <f>25.4*8</f>
        <v>203.2</v>
      </c>
      <c r="O6" s="200">
        <v>0.02</v>
      </c>
      <c r="P6" s="201">
        <v>5</v>
      </c>
      <c r="Q6" s="200">
        <v>2</v>
      </c>
      <c r="S6"/>
    </row>
    <row r="7" spans="1:19" x14ac:dyDescent="0.25">
      <c r="A7" s="26" t="s">
        <v>176</v>
      </c>
      <c r="B7" s="26" t="s">
        <v>29</v>
      </c>
      <c r="C7" s="26" t="s">
        <v>172</v>
      </c>
      <c r="E7" s="198">
        <v>25</v>
      </c>
      <c r="F7" s="198">
        <f>25.4*5</f>
        <v>127</v>
      </c>
      <c r="G7" s="198">
        <f>25.4*0.625</f>
        <v>15.875</v>
      </c>
      <c r="H7" s="198">
        <v>0.01</v>
      </c>
      <c r="I7" s="198">
        <v>2</v>
      </c>
      <c r="J7" s="198">
        <v>0.38</v>
      </c>
      <c r="K7" s="198">
        <v>88</v>
      </c>
      <c r="M7" s="200">
        <v>100</v>
      </c>
      <c r="N7" s="200">
        <f>25.4*12</f>
        <v>304.79999999999995</v>
      </c>
      <c r="O7" s="200">
        <v>0.05</v>
      </c>
      <c r="P7" s="201">
        <v>10</v>
      </c>
      <c r="Q7" s="200">
        <v>4</v>
      </c>
      <c r="S7"/>
    </row>
    <row r="8" spans="1:19" x14ac:dyDescent="0.25">
      <c r="A8" s="27" t="s">
        <v>177</v>
      </c>
      <c r="B8" s="26" t="s">
        <v>30</v>
      </c>
      <c r="C8" s="26" t="s">
        <v>173</v>
      </c>
      <c r="E8" s="198">
        <v>50</v>
      </c>
      <c r="F8" s="198">
        <f>25.4*5</f>
        <v>127</v>
      </c>
      <c r="G8" s="198">
        <f t="shared" ref="G8:G14" si="1">25.4*0.625</f>
        <v>15.875</v>
      </c>
      <c r="H8" s="198">
        <v>0.01</v>
      </c>
      <c r="I8" s="198">
        <v>2</v>
      </c>
      <c r="J8" s="198">
        <v>0.75</v>
      </c>
      <c r="K8" s="198">
        <v>173</v>
      </c>
      <c r="M8" s="200">
        <v>200</v>
      </c>
      <c r="N8" s="200">
        <f>25.4*18</f>
        <v>457.2</v>
      </c>
      <c r="O8" s="200">
        <v>0.1</v>
      </c>
      <c r="P8" s="201">
        <v>20</v>
      </c>
      <c r="Q8" s="200">
        <v>8</v>
      </c>
      <c r="S8"/>
    </row>
    <row r="9" spans="1:19" x14ac:dyDescent="0.25">
      <c r="E9" s="198">
        <v>100</v>
      </c>
      <c r="F9" s="198">
        <f>25.4*7</f>
        <v>177.79999999999998</v>
      </c>
      <c r="G9" s="198">
        <f t="shared" si="1"/>
        <v>15.875</v>
      </c>
      <c r="H9" s="198">
        <v>0.02</v>
      </c>
      <c r="I9" s="198">
        <v>5</v>
      </c>
      <c r="J9" s="198">
        <v>1.5</v>
      </c>
      <c r="K9" s="198">
        <v>347</v>
      </c>
      <c r="M9" s="200">
        <v>300</v>
      </c>
      <c r="N9" s="200">
        <f>25.4*18</f>
        <v>457.2</v>
      </c>
      <c r="O9" s="200">
        <v>0.1</v>
      </c>
      <c r="P9" s="201">
        <v>20</v>
      </c>
      <c r="Q9" s="200">
        <v>12</v>
      </c>
      <c r="S9"/>
    </row>
    <row r="10" spans="1:19" ht="17.649999999999999" customHeight="1" x14ac:dyDescent="0.25">
      <c r="E10" s="198">
        <v>200</v>
      </c>
      <c r="F10" s="198">
        <f>25.4*10</f>
        <v>254</v>
      </c>
      <c r="G10" s="198">
        <f t="shared" si="1"/>
        <v>15.875</v>
      </c>
      <c r="H10" s="198">
        <v>0.05</v>
      </c>
      <c r="I10" s="198">
        <v>10</v>
      </c>
      <c r="J10" s="198">
        <v>3</v>
      </c>
      <c r="K10" s="198">
        <v>693</v>
      </c>
      <c r="M10" s="200">
        <v>500</v>
      </c>
      <c r="N10" s="200">
        <f>25.4*18</f>
        <v>457.2</v>
      </c>
      <c r="O10" s="200">
        <v>0.1</v>
      </c>
      <c r="P10" s="201">
        <v>20</v>
      </c>
      <c r="Q10" s="200">
        <v>20</v>
      </c>
      <c r="S10"/>
    </row>
    <row r="11" spans="1:19" ht="17.649999999999999" customHeight="1" x14ac:dyDescent="0.25">
      <c r="E11" s="198">
        <v>500</v>
      </c>
      <c r="F11" s="198">
        <f>25.4*17</f>
        <v>431.79999999999995</v>
      </c>
      <c r="G11" s="198">
        <f t="shared" si="1"/>
        <v>15.875</v>
      </c>
      <c r="H11" s="198">
        <v>0.1</v>
      </c>
      <c r="I11" s="198">
        <v>20</v>
      </c>
      <c r="J11" s="198">
        <v>7.5</v>
      </c>
      <c r="K11" s="198">
        <v>1733</v>
      </c>
      <c r="M11"/>
      <c r="N11"/>
      <c r="O11"/>
      <c r="P11"/>
      <c r="Q11"/>
      <c r="R11"/>
      <c r="S11"/>
    </row>
    <row r="12" spans="1:19" ht="17.649999999999999" customHeight="1" x14ac:dyDescent="0.25">
      <c r="E12" s="198">
        <v>750</v>
      </c>
      <c r="F12" s="198">
        <f>25.4*17</f>
        <v>431.79999999999995</v>
      </c>
      <c r="G12" s="198">
        <f t="shared" si="1"/>
        <v>15.875</v>
      </c>
      <c r="H12" s="198">
        <v>0.1</v>
      </c>
      <c r="I12" s="198">
        <v>20</v>
      </c>
      <c r="J12" s="198">
        <v>11</v>
      </c>
      <c r="K12" s="198">
        <v>2610</v>
      </c>
      <c r="M12" s="199" t="s">
        <v>182</v>
      </c>
      <c r="N12" s="199" t="s">
        <v>186</v>
      </c>
      <c r="O12" s="199" t="s">
        <v>185</v>
      </c>
      <c r="P12" s="199" t="s">
        <v>256</v>
      </c>
      <c r="Q12"/>
      <c r="S12"/>
    </row>
    <row r="13" spans="1:19" ht="17.649999999999999" customHeight="1" x14ac:dyDescent="0.25">
      <c r="E13" s="198">
        <v>1000</v>
      </c>
      <c r="F13" s="198">
        <f>25.4*20</f>
        <v>508</v>
      </c>
      <c r="G13" s="198">
        <f t="shared" si="1"/>
        <v>15.875</v>
      </c>
      <c r="H13" s="198">
        <v>0.1</v>
      </c>
      <c r="I13" s="198">
        <v>20</v>
      </c>
      <c r="J13" s="198">
        <v>10</v>
      </c>
      <c r="K13" s="198">
        <v>2310</v>
      </c>
      <c r="M13" s="199">
        <v>100</v>
      </c>
      <c r="N13" s="199">
        <f>25.4*5</f>
        <v>127</v>
      </c>
      <c r="O13" s="199">
        <v>50</v>
      </c>
      <c r="P13" s="199">
        <v>4</v>
      </c>
      <c r="Q13"/>
      <c r="S13"/>
    </row>
    <row r="14" spans="1:19" ht="17.649999999999999" customHeight="1" x14ac:dyDescent="0.25">
      <c r="E14" s="198">
        <v>1500</v>
      </c>
      <c r="F14" s="198">
        <f>25.4*20</f>
        <v>508</v>
      </c>
      <c r="G14" s="198">
        <f t="shared" si="1"/>
        <v>15.875</v>
      </c>
      <c r="H14" s="198">
        <v>0.1</v>
      </c>
      <c r="I14" s="198">
        <v>20</v>
      </c>
      <c r="J14" s="198">
        <v>15</v>
      </c>
      <c r="K14" s="198">
        <v>3465</v>
      </c>
      <c r="M14" s="199">
        <v>200</v>
      </c>
      <c r="N14" s="199">
        <f>25.4*6</f>
        <v>152.39999999999998</v>
      </c>
      <c r="O14" s="199">
        <v>100</v>
      </c>
      <c r="P14" s="199">
        <v>8</v>
      </c>
      <c r="Q14"/>
      <c r="S14"/>
    </row>
    <row r="15" spans="1:19" x14ac:dyDescent="0.25">
      <c r="E15" s="196"/>
      <c r="F15" s="196"/>
      <c r="G15" s="196"/>
      <c r="H15" s="196"/>
      <c r="I15" s="196"/>
      <c r="J15" s="196"/>
      <c r="K15" s="196"/>
      <c r="M15" s="199">
        <v>500</v>
      </c>
      <c r="N15" s="199">
        <f>25.4*12</f>
        <v>304.79999999999995</v>
      </c>
      <c r="O15" s="199">
        <v>200</v>
      </c>
      <c r="P15" s="199">
        <v>20</v>
      </c>
      <c r="Q15"/>
      <c r="S15" s="196"/>
    </row>
    <row r="16" spans="1:19" x14ac:dyDescent="0.25">
      <c r="E16" s="197" t="s">
        <v>182</v>
      </c>
      <c r="F16" s="197" t="s">
        <v>186</v>
      </c>
      <c r="G16" s="197" t="s">
        <v>187</v>
      </c>
      <c r="H16" s="197" t="s">
        <v>183</v>
      </c>
      <c r="I16" s="197" t="s">
        <v>260</v>
      </c>
      <c r="J16"/>
      <c r="K16" s="196"/>
      <c r="M16" s="199">
        <v>1000</v>
      </c>
      <c r="N16" s="199">
        <f>25.4*12</f>
        <v>304.79999999999995</v>
      </c>
      <c r="O16" s="199">
        <v>200</v>
      </c>
      <c r="P16" s="199">
        <v>40</v>
      </c>
      <c r="Q16"/>
      <c r="S16" s="196"/>
    </row>
    <row r="17" spans="5:19" x14ac:dyDescent="0.25">
      <c r="E17" s="197">
        <v>5</v>
      </c>
      <c r="F17" s="197">
        <f>25.4*2.25</f>
        <v>57.15</v>
      </c>
      <c r="G17" s="197">
        <f>25.4*0.5</f>
        <v>12.7</v>
      </c>
      <c r="H17" s="197">
        <v>5</v>
      </c>
      <c r="I17" s="197">
        <v>7.4999999999999997E-2</v>
      </c>
      <c r="J17"/>
      <c r="K17" s="196"/>
      <c r="M17" s="199">
        <v>2000</v>
      </c>
      <c r="N17" s="199">
        <f>25.4*18</f>
        <v>457.2</v>
      </c>
      <c r="O17" s="199">
        <v>500</v>
      </c>
      <c r="P17" s="199">
        <v>80</v>
      </c>
      <c r="Q17"/>
      <c r="S17" s="196"/>
    </row>
    <row r="18" spans="5:19" x14ac:dyDescent="0.25">
      <c r="E18" s="197">
        <v>10</v>
      </c>
      <c r="F18" s="197">
        <f>25.4*3</f>
        <v>76.199999999999989</v>
      </c>
      <c r="G18" s="197">
        <f t="shared" ref="G18:G20" si="2">25.4*0.5</f>
        <v>12.7</v>
      </c>
      <c r="H18" s="197">
        <v>5</v>
      </c>
      <c r="I18" s="197">
        <v>0.15</v>
      </c>
      <c r="J18"/>
      <c r="K18" s="196"/>
      <c r="S18" s="196"/>
    </row>
    <row r="19" spans="5:19" x14ac:dyDescent="0.25">
      <c r="E19" s="197">
        <v>20</v>
      </c>
      <c r="F19" s="197">
        <f>25.4*4</f>
        <v>101.6</v>
      </c>
      <c r="G19" s="197">
        <f t="shared" si="2"/>
        <v>12.7</v>
      </c>
      <c r="H19" s="197">
        <v>10</v>
      </c>
      <c r="I19" s="197">
        <v>0.3</v>
      </c>
      <c r="J19"/>
      <c r="K19" s="196"/>
      <c r="S19" s="196"/>
    </row>
    <row r="20" spans="5:19" x14ac:dyDescent="0.25">
      <c r="E20" s="197">
        <v>50</v>
      </c>
      <c r="F20" s="197">
        <f>25.4*5</f>
        <v>127</v>
      </c>
      <c r="G20" s="197">
        <f t="shared" si="2"/>
        <v>12.7</v>
      </c>
      <c r="H20" s="197">
        <v>25</v>
      </c>
      <c r="I20" s="197">
        <v>0.75</v>
      </c>
      <c r="J20"/>
      <c r="K20" s="196"/>
      <c r="S20" s="196"/>
    </row>
    <row r="21" spans="5:19" x14ac:dyDescent="0.25">
      <c r="E21" s="197">
        <v>100</v>
      </c>
      <c r="F21" s="197">
        <f>25.4*5</f>
        <v>127</v>
      </c>
      <c r="G21" s="197">
        <f>25.4*0.625</f>
        <v>15.875</v>
      </c>
      <c r="H21" s="197">
        <v>25</v>
      </c>
      <c r="I21" s="197">
        <v>1.5</v>
      </c>
      <c r="J21"/>
      <c r="K21" s="196"/>
      <c r="S21" s="196"/>
    </row>
    <row r="22" spans="5:19" x14ac:dyDescent="0.25">
      <c r="E22" s="197">
        <v>200</v>
      </c>
      <c r="F22" s="197">
        <f>25.4*7</f>
        <v>177.79999999999998</v>
      </c>
      <c r="G22" s="197">
        <f t="shared" ref="G22:G28" si="3">25.4*0.625</f>
        <v>15.875</v>
      </c>
      <c r="H22" s="197">
        <v>50</v>
      </c>
      <c r="I22" s="197">
        <v>3</v>
      </c>
      <c r="J22"/>
      <c r="K22" s="196"/>
      <c r="M22"/>
      <c r="N22"/>
      <c r="O22"/>
      <c r="P22"/>
      <c r="Q22"/>
      <c r="R22"/>
      <c r="S22" s="196"/>
    </row>
    <row r="23" spans="5:19" x14ac:dyDescent="0.25">
      <c r="E23" s="197">
        <v>500</v>
      </c>
      <c r="F23" s="197">
        <f>25.4*10</f>
        <v>254</v>
      </c>
      <c r="G23" s="197">
        <f t="shared" si="3"/>
        <v>15.875</v>
      </c>
      <c r="H23" s="197">
        <v>100</v>
      </c>
      <c r="I23" s="197">
        <v>7.5</v>
      </c>
      <c r="J23"/>
      <c r="K23" s="196"/>
      <c r="M23"/>
      <c r="N23"/>
      <c r="O23"/>
      <c r="P23"/>
      <c r="Q23"/>
      <c r="R23"/>
      <c r="S23" s="196"/>
    </row>
    <row r="24" spans="5:19" x14ac:dyDescent="0.25">
      <c r="E24" s="197">
        <v>1000</v>
      </c>
      <c r="F24" s="197">
        <f>25.4*17</f>
        <v>431.79999999999995</v>
      </c>
      <c r="G24" s="197">
        <f t="shared" si="3"/>
        <v>15.875</v>
      </c>
      <c r="H24" s="197">
        <v>250</v>
      </c>
      <c r="I24" s="197">
        <v>15</v>
      </c>
      <c r="J24"/>
      <c r="K24" s="196"/>
      <c r="M24"/>
      <c r="N24"/>
      <c r="O24"/>
      <c r="P24"/>
      <c r="Q24"/>
      <c r="R24"/>
      <c r="S24" s="196"/>
    </row>
    <row r="25" spans="5:19" x14ac:dyDescent="0.25">
      <c r="E25" s="197">
        <v>2000</v>
      </c>
      <c r="F25" s="197">
        <f>25.4*17</f>
        <v>431.79999999999995</v>
      </c>
      <c r="G25" s="197">
        <f t="shared" si="3"/>
        <v>15.875</v>
      </c>
      <c r="H25" s="197">
        <v>500</v>
      </c>
      <c r="I25" s="197">
        <v>30</v>
      </c>
      <c r="J25"/>
      <c r="K25" s="196"/>
      <c r="M25"/>
      <c r="N25"/>
      <c r="O25"/>
      <c r="P25"/>
      <c r="Q25"/>
      <c r="R25"/>
      <c r="S25" s="196"/>
    </row>
    <row r="26" spans="5:19" x14ac:dyDescent="0.25">
      <c r="E26" s="197">
        <v>3000</v>
      </c>
      <c r="F26" s="197">
        <f>25.4*20</f>
        <v>508</v>
      </c>
      <c r="G26" s="197">
        <f t="shared" si="3"/>
        <v>15.875</v>
      </c>
      <c r="H26" s="197">
        <v>500</v>
      </c>
      <c r="I26" s="197">
        <v>45</v>
      </c>
      <c r="J26"/>
      <c r="K26" s="196"/>
      <c r="M26"/>
      <c r="N26"/>
      <c r="O26"/>
      <c r="P26"/>
      <c r="Q26"/>
      <c r="R26"/>
      <c r="S26" s="196"/>
    </row>
    <row r="27" spans="5:19" x14ac:dyDescent="0.25">
      <c r="E27" s="197">
        <v>3800</v>
      </c>
      <c r="F27" s="197">
        <f>25.4*20</f>
        <v>508</v>
      </c>
      <c r="G27" s="197">
        <f t="shared" si="3"/>
        <v>15.875</v>
      </c>
      <c r="H27" s="197">
        <v>500</v>
      </c>
      <c r="I27" s="197">
        <v>38</v>
      </c>
      <c r="J27"/>
      <c r="K27" s="196"/>
      <c r="M27"/>
      <c r="N27"/>
      <c r="O27"/>
      <c r="P27"/>
      <c r="Q27"/>
      <c r="R27"/>
      <c r="S27" s="196"/>
    </row>
    <row r="28" spans="5:19" x14ac:dyDescent="0.25">
      <c r="E28" s="197">
        <v>5000</v>
      </c>
      <c r="F28" s="197">
        <f>25.4*20</f>
        <v>508</v>
      </c>
      <c r="G28" s="197">
        <f t="shared" si="3"/>
        <v>15.875</v>
      </c>
      <c r="H28" s="197">
        <v>500</v>
      </c>
      <c r="I28" s="197">
        <v>50</v>
      </c>
      <c r="J28"/>
      <c r="K28" s="196"/>
      <c r="M28"/>
      <c r="N28"/>
      <c r="O28"/>
      <c r="P28"/>
      <c r="Q28"/>
      <c r="R28"/>
      <c r="S28" s="196"/>
    </row>
    <row r="29" spans="5:19" x14ac:dyDescent="0.25"/>
  </sheetData>
  <sheetProtection algorithmName="SHA-512" hashValue="XtNvkY3sCW9ZiGVCRYFiw9unguOcOIoXCNqkxOM0+FXvCWn8gL2h17dXWZxC0biyFTDSkTsF3Ku+Re+B/EUh/A==" saltValue="qJwEiaHfU+wKs1ljQcTcqw==" spinCount="100000" sheet="1" objects="1" scenarios="1"/>
  <mergeCells count="1">
    <mergeCell ref="A3:C3"/>
  </mergeCells>
  <phoneticPr fontId="9" type="noConversion"/>
  <printOptions horizontalCentered="1"/>
  <pageMargins left="0.5" right="0.5" top="1" bottom="1" header="0.5" footer="0.5"/>
  <pageSetup scale="81" orientation="landscape" horizontalDpi="1200" r:id="rId1"/>
  <headerFooter alignWithMargins="0">
    <oddHeader>&amp;L&amp;"Trebuchet MS,Regular"Scale Plate Calibration&amp;R&amp;"Trebuchet MS,Regular"WAMRF-003, Ver. 7,
9/26/2018</oddHeader>
    <oddFooter>&amp;L&amp;"Trebuchet MS,Regular"&amp;F&amp;R&amp;"Trebuchet MS,Regular"&amp;A Worksheet Page &amp;P of &amp;N</oddFooter>
  </headerFooter>
  <colBreaks count="2" manualBreakCount="2">
    <brk id="4" max="1048575" man="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Software Technical Assessment</vt:lpstr>
      <vt:lpstr>DCT (WAMRF-003)</vt:lpstr>
      <vt:lpstr>Information</vt:lpstr>
      <vt:lpstr>SOP 31</vt:lpstr>
      <vt:lpstr>Data Entry</vt:lpstr>
      <vt:lpstr>Uncertainty Analysis</vt:lpstr>
      <vt:lpstr>Lists</vt:lpstr>
      <vt:lpstr>CertNo</vt:lpstr>
      <vt:lpstr>CustomerID</vt:lpstr>
      <vt:lpstr>DateReceived</vt:lpstr>
      <vt:lpstr>Drops</vt:lpstr>
      <vt:lpstr>Intervals</vt:lpstr>
      <vt:lpstr>LPG_gal</vt:lpstr>
      <vt:lpstr>LPG_L</vt:lpstr>
      <vt:lpstr>NC_Tol</vt:lpstr>
      <vt:lpstr>NeckUnit.List</vt:lpstr>
      <vt:lpstr>NomVol</vt:lpstr>
      <vt:lpstr>NomVolUnit</vt:lpstr>
      <vt:lpstr>NSCF</vt:lpstr>
      <vt:lpstr>NU_Tol</vt:lpstr>
      <vt:lpstr>'Data Entry'!Print_Area</vt:lpstr>
      <vt:lpstr>'Software Technical Assessment'!Print_Area</vt:lpstr>
      <vt:lpstr>'DCT (WAMRF-003)'!Print_Titles</vt:lpstr>
      <vt:lpstr>Information!Print_Titles</vt:lpstr>
      <vt:lpstr>'Software Technical Assessment'!Print_Titles</vt:lpstr>
      <vt:lpstr>'Uncertainty Analysis'!Print_Titles</vt:lpstr>
      <vt:lpstr>Prover_gal</vt:lpstr>
      <vt:lpstr>Prover_L</vt:lpstr>
      <vt:lpstr>RefTemp</vt:lpstr>
      <vt:lpstr>RefTempUnit</vt:lpstr>
      <vt:lpstr>ScaleGradUnit</vt:lpstr>
      <vt:lpstr>Spec</vt:lpstr>
      <vt:lpstr>sr_f4</vt:lpstr>
      <vt:lpstr>sr_f6</vt:lpstr>
      <vt:lpstr>sr_i</vt:lpstr>
      <vt:lpstr>Std_df</vt:lpstr>
      <vt:lpstr>Std_k</vt:lpstr>
      <vt:lpstr>StdU</vt:lpstr>
      <vt:lpstr>StdVol</vt:lpstr>
      <vt:lpstr>TestDate</vt:lpstr>
    </vt:vector>
  </TitlesOfParts>
  <Company>WSDA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SOP 31 Scale Plate Calibration, WAMRF-003 (V01)</dc:title>
  <dc:subject>Prover Neck Scale Calibration</dc:subject>
  <dc:creator>Hicks, Micheal M. (Fed)</dc:creator>
  <dc:description>For calibration of the neck scale plate following NIST
 SOP 31</dc:description>
  <cp:lastModifiedBy>Hicks, Micheal M. (Fed)</cp:lastModifiedBy>
  <cp:lastPrinted>2017-12-22T21:02:46Z</cp:lastPrinted>
  <dcterms:created xsi:type="dcterms:W3CDTF">2008-06-11T16:17:23Z</dcterms:created>
  <dcterms:modified xsi:type="dcterms:W3CDTF">2025-03-06T21:05:19Z</dcterms:modified>
  <cp:category>Volume II</cp:category>
</cp:coreProperties>
</file>