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3.xml" ContentType="application/vnd.openxmlformats-officedocument.spreadsheetml.table+xml"/>
  <Override PartName="/xl/queryTables/queryTable1.xml" ContentType="application/vnd.openxmlformats-officedocument.spreadsheetml.queryTable+xml"/>
  <Override PartName="/xl/comments5.xml" ContentType="application/vnd.openxmlformats-officedocument.spreadsheetml.comments+xml"/>
  <Override PartName="/xl/tables/table4.xml" ContentType="application/vnd.openxmlformats-officedocument.spreadsheetml.table+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elwood.nist.gov\680\NIST_Projects\OWM\Lab_Prgm\Proficiency Testing Prgm\Quality Documents\PT Templates\"/>
    </mc:Choice>
  </mc:AlternateContent>
  <xr:revisionPtr revIDLastSave="0" documentId="13_ncr:1_{3A519EFF-D303-4231-A727-9F8A97982E3F}" xr6:coauthVersionLast="47" xr6:coauthVersionMax="47" xr10:uidLastSave="{00000000-0000-0000-0000-000000000000}"/>
  <bookViews>
    <workbookView xWindow="-120" yWindow="-120" windowWidth="29040" windowHeight="15720" tabRatio="914" activeTab="5" xr2:uid="{00000000-000D-0000-FFFF-FFFF00000000}"/>
  </bookViews>
  <sheets>
    <sheet name="Revision Data" sheetId="27" r:id="rId1"/>
    <sheet name="User Instructions" sheetId="31" r:id="rId2"/>
    <sheet name="Software-V&amp;V" sheetId="32" r:id="rId3"/>
    <sheet name="QMS Reference" sheetId="18" r:id="rId4"/>
    <sheet name="PTP1 Outline" sheetId="17" r:id="rId5"/>
    <sheet name="P1; Organize the PT" sheetId="1" r:id="rId6"/>
    <sheet name="P2; Objectives &amp; Details" sheetId="19" r:id="rId7"/>
    <sheet name="P3; Artifact &amp; Shipping" sheetId="3" r:id="rId8"/>
    <sheet name="P4; Addresses &amp; Contacts" sheetId="11" r:id="rId9"/>
    <sheet name="Receipt Form F08" sheetId="30" r:id="rId10"/>
    <sheet name="LookupTables" sheetId="33" r:id="rId11"/>
    <sheet name="O1; Coordinator Tracking" sheetId="2" r:id="rId12"/>
    <sheet name="O2; Coordinator Feedback" sheetId="26" r:id="rId13"/>
    <sheet name="R1; PT Report Cover" sheetId="29" r:id="rId14"/>
  </sheets>
  <definedNames>
    <definedName name="_Toc64906286" localSheetId="9">'Receipt Form F08'!$A$1</definedName>
    <definedName name="ExternalData_1" localSheetId="10" hidden="1">LookupTables!$AL$2:$BI$86</definedName>
    <definedName name="_xlnm.Print_Area" localSheetId="11">'O1; Coordinator Tracking'!$A$1:$M$167</definedName>
    <definedName name="_xlnm.Print_Area" localSheetId="12">'O2; Coordinator Feedback'!$A$1:$M$40</definedName>
    <definedName name="_xlnm.Print_Area" localSheetId="5">'P1; Organize the PT'!$B$1:$J$62</definedName>
    <definedName name="_xlnm.Print_Area" localSheetId="6">'P2; Objectives &amp; Details'!$A$1:$J$103</definedName>
    <definedName name="_xlnm.Print_Area" localSheetId="7">'P3; Artifact &amp; Shipping'!$A$1:$B$53</definedName>
    <definedName name="_xlnm.Print_Area" localSheetId="8">'P4; Addresses &amp; Contacts'!$B$1:$I$41</definedName>
    <definedName name="_xlnm.Print_Area" localSheetId="4">'PTP1 Outline'!$A$1:$H$12</definedName>
    <definedName name="_xlnm.Print_Area" localSheetId="13">'R1; PT Report Cover'!$A$2:$K$120</definedName>
    <definedName name="_xlnm.Print_Area" localSheetId="1">'User Instructions'!$A$1:$B$35</definedName>
    <definedName name="_xlnm.Print_Titles" localSheetId="11">'O1; Coordinator Tracking'!$1:$7</definedName>
    <definedName name="_xlnm.Print_Titles" localSheetId="12">'O2; Coordinator Feedback'!$1:$7</definedName>
    <definedName name="_xlnm.Print_Titles" localSheetId="5">'P1; Organize the PT'!$1:$6</definedName>
    <definedName name="_xlnm.Print_Titles" localSheetId="6">'P2; Objectives &amp; Details'!$1:$7</definedName>
    <definedName name="_xlnm.Print_Titles" localSheetId="7">'P3; Artifact &amp; Shipping'!$1:$7</definedName>
    <definedName name="_xlnm.Print_Titles" localSheetId="8">'P4; Addresses &amp; Contacts'!$1:$7</definedName>
    <definedName name="_xlnm.Print_Titles" localSheetId="0">'Revision Data'!$2:$2</definedName>
    <definedName name="_xlnm.Print_Titles" localSheetId="2">'Software-V&amp;V'!$5:$5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2" i="33" l="1"/>
  <c r="A172" i="33"/>
  <c r="O172" i="33" s="1"/>
  <c r="H172" i="33"/>
  <c r="G172" i="33"/>
  <c r="F172" i="33"/>
  <c r="A38" i="26"/>
  <c r="A37" i="26"/>
  <c r="A36" i="26"/>
  <c r="A35" i="26"/>
  <c r="A34" i="26"/>
  <c r="A33" i="26"/>
  <c r="A32" i="26"/>
  <c r="A31" i="26"/>
  <c r="A30" i="26"/>
  <c r="A29" i="26"/>
  <c r="A28" i="26"/>
  <c r="A27" i="26"/>
  <c r="A26" i="26"/>
  <c r="A25" i="26"/>
  <c r="A24" i="26"/>
  <c r="A23" i="26"/>
  <c r="A22" i="26"/>
  <c r="D38" i="26"/>
  <c r="E38" i="26"/>
  <c r="F38" i="26"/>
  <c r="A21" i="26"/>
  <c r="A20" i="26"/>
  <c r="A19" i="26"/>
  <c r="A18" i="26"/>
  <c r="A17" i="26"/>
  <c r="A16" i="26"/>
  <c r="A15" i="26"/>
  <c r="A14" i="26"/>
  <c r="A13" i="26"/>
  <c r="F11" i="26"/>
  <c r="F12" i="26"/>
  <c r="F13" i="26"/>
  <c r="F14" i="26"/>
  <c r="F15" i="26"/>
  <c r="F16" i="26"/>
  <c r="F17" i="26"/>
  <c r="F18" i="26"/>
  <c r="F19" i="26"/>
  <c r="F20" i="26"/>
  <c r="F21" i="26"/>
  <c r="F22" i="26"/>
  <c r="F23" i="26"/>
  <c r="F24" i="26"/>
  <c r="F25" i="26"/>
  <c r="F26" i="26"/>
  <c r="F27" i="26"/>
  <c r="F28" i="26"/>
  <c r="F29" i="26"/>
  <c r="F30" i="26"/>
  <c r="F31" i="26"/>
  <c r="F32" i="26"/>
  <c r="F33" i="26"/>
  <c r="F34" i="26"/>
  <c r="F35" i="26"/>
  <c r="F36" i="26"/>
  <c r="F37" i="26"/>
  <c r="E11" i="26"/>
  <c r="E12" i="26"/>
  <c r="E13" i="26"/>
  <c r="E14" i="26"/>
  <c r="E15" i="26"/>
  <c r="E16" i="26"/>
  <c r="E17" i="26"/>
  <c r="E18" i="26"/>
  <c r="E19" i="26"/>
  <c r="E20" i="26"/>
  <c r="E21" i="26"/>
  <c r="E22" i="26"/>
  <c r="E23" i="26"/>
  <c r="E24" i="26"/>
  <c r="E25" i="26"/>
  <c r="E26" i="26"/>
  <c r="E27" i="26"/>
  <c r="E28" i="26"/>
  <c r="E29" i="26"/>
  <c r="E30" i="26"/>
  <c r="E31" i="26"/>
  <c r="E32" i="26"/>
  <c r="E33" i="26"/>
  <c r="E34" i="26"/>
  <c r="E35" i="26"/>
  <c r="E36" i="26"/>
  <c r="E37" i="26"/>
  <c r="D11" i="26"/>
  <c r="D12" i="26"/>
  <c r="D13" i="26"/>
  <c r="D14" i="26"/>
  <c r="D15" i="26"/>
  <c r="D16" i="26"/>
  <c r="D17" i="26"/>
  <c r="D18" i="26"/>
  <c r="D19" i="26"/>
  <c r="D20" i="26"/>
  <c r="D21" i="26"/>
  <c r="D22" i="26"/>
  <c r="D23" i="26"/>
  <c r="D24" i="26"/>
  <c r="D25" i="26"/>
  <c r="D26" i="26"/>
  <c r="D27" i="26"/>
  <c r="D28" i="26"/>
  <c r="D29" i="26"/>
  <c r="D30" i="26"/>
  <c r="D31" i="26"/>
  <c r="D32" i="26"/>
  <c r="D33" i="26"/>
  <c r="D34" i="26"/>
  <c r="D35" i="26"/>
  <c r="D36" i="26"/>
  <c r="D37" i="26"/>
  <c r="A12" i="26"/>
  <c r="E32" i="1"/>
  <c r="G32" i="1" s="1"/>
  <c r="F21" i="1"/>
  <c r="F20" i="1"/>
  <c r="E21" i="1"/>
  <c r="E20" i="1"/>
  <c r="D21" i="1"/>
  <c r="D20" i="1"/>
  <c r="F19" i="1"/>
  <c r="E19" i="1"/>
  <c r="D19" i="1"/>
  <c r="C20" i="29"/>
  <c r="C19" i="29"/>
  <c r="C32" i="29"/>
  <c r="C21" i="29"/>
  <c r="G100" i="29"/>
  <c r="C100" i="29"/>
  <c r="G99" i="29"/>
  <c r="C99" i="29"/>
  <c r="G98" i="29"/>
  <c r="C98" i="29"/>
  <c r="G97" i="29"/>
  <c r="C97" i="29"/>
  <c r="G96" i="29"/>
  <c r="C96" i="29"/>
  <c r="G95" i="29"/>
  <c r="C95" i="29"/>
  <c r="G94" i="29"/>
  <c r="C94" i="29"/>
  <c r="G93" i="29"/>
  <c r="C93" i="29"/>
  <c r="G92" i="29"/>
  <c r="C92" i="29"/>
  <c r="G91" i="29"/>
  <c r="C91" i="29"/>
  <c r="G90" i="29"/>
  <c r="C90" i="29"/>
  <c r="G89" i="29"/>
  <c r="C89" i="29"/>
  <c r="G88" i="29"/>
  <c r="C88" i="29"/>
  <c r="G87" i="29"/>
  <c r="C87" i="29"/>
  <c r="G86" i="29"/>
  <c r="C86" i="29"/>
  <c r="G85" i="29"/>
  <c r="C85" i="29"/>
  <c r="G84" i="29"/>
  <c r="C84" i="29"/>
  <c r="G83" i="29"/>
  <c r="C83" i="29"/>
  <c r="G82" i="29"/>
  <c r="C82" i="29"/>
  <c r="G81" i="29"/>
  <c r="C81" i="29"/>
  <c r="G80" i="29"/>
  <c r="C80" i="29"/>
  <c r="G79" i="29"/>
  <c r="C79" i="29"/>
  <c r="G78" i="29"/>
  <c r="C78" i="29"/>
  <c r="G77" i="29"/>
  <c r="C77" i="29"/>
  <c r="G76" i="29"/>
  <c r="C76" i="29"/>
  <c r="G75" i="29"/>
  <c r="C75" i="29"/>
  <c r="G74" i="29"/>
  <c r="C74" i="29"/>
  <c r="G73" i="29"/>
  <c r="C73" i="29"/>
  <c r="G72" i="29"/>
  <c r="C72" i="29"/>
  <c r="G71" i="29"/>
  <c r="C71" i="29"/>
  <c r="G70" i="29"/>
  <c r="C70" i="29"/>
  <c r="G69" i="29"/>
  <c r="C69" i="29"/>
  <c r="G68" i="29"/>
  <c r="C68" i="29"/>
  <c r="G67" i="29"/>
  <c r="C67" i="29"/>
  <c r="G66" i="29"/>
  <c r="C66" i="29"/>
  <c r="G65" i="29"/>
  <c r="C65" i="29"/>
  <c r="G64" i="29"/>
  <c r="C64" i="29"/>
  <c r="G63" i="29"/>
  <c r="C63" i="29"/>
  <c r="G62" i="29"/>
  <c r="C62" i="29"/>
  <c r="G61" i="29"/>
  <c r="C61" i="29"/>
  <c r="G60" i="29"/>
  <c r="C60" i="29"/>
  <c r="G59" i="29"/>
  <c r="C59" i="29"/>
  <c r="G58" i="29"/>
  <c r="C58" i="29"/>
  <c r="G57" i="29"/>
  <c r="C57" i="29"/>
  <c r="G56" i="29"/>
  <c r="C56" i="29"/>
  <c r="G55" i="29"/>
  <c r="C55" i="29"/>
  <c r="G54" i="29"/>
  <c r="C54" i="29"/>
  <c r="G53" i="29"/>
  <c r="C53" i="29"/>
  <c r="G52" i="29"/>
  <c r="C52" i="29"/>
  <c r="G51" i="29"/>
  <c r="C51" i="29"/>
  <c r="A115" i="29"/>
  <c r="G50" i="29"/>
  <c r="C50" i="29"/>
  <c r="G49" i="29"/>
  <c r="C49" i="29"/>
  <c r="G48" i="29"/>
  <c r="C48" i="29"/>
  <c r="G47" i="29"/>
  <c r="C47" i="29"/>
  <c r="C13" i="11"/>
  <c r="D13" i="11"/>
  <c r="E13" i="11"/>
  <c r="F13" i="11"/>
  <c r="G13" i="11"/>
  <c r="H13" i="11"/>
  <c r="I13" i="11"/>
  <c r="C14" i="11"/>
  <c r="D14" i="11"/>
  <c r="E14" i="11"/>
  <c r="F14" i="11"/>
  <c r="G14" i="11"/>
  <c r="H14" i="11"/>
  <c r="I14" i="11"/>
  <c r="C15" i="11"/>
  <c r="D15" i="11"/>
  <c r="E15" i="11"/>
  <c r="F15" i="11"/>
  <c r="G15" i="11"/>
  <c r="H15" i="11"/>
  <c r="I15" i="11"/>
  <c r="C16" i="11"/>
  <c r="D16" i="11"/>
  <c r="E16" i="11"/>
  <c r="F16" i="11"/>
  <c r="G16" i="11"/>
  <c r="H16" i="11"/>
  <c r="I16" i="11"/>
  <c r="C17" i="11"/>
  <c r="D17" i="11"/>
  <c r="E17" i="11"/>
  <c r="F17" i="11"/>
  <c r="G17" i="11"/>
  <c r="H17" i="11"/>
  <c r="I17" i="11"/>
  <c r="C18" i="11"/>
  <c r="D18" i="11"/>
  <c r="E18" i="11"/>
  <c r="F18" i="11"/>
  <c r="G18" i="11"/>
  <c r="H18" i="11"/>
  <c r="I18" i="11"/>
  <c r="C19" i="11"/>
  <c r="D19" i="11"/>
  <c r="E19" i="11"/>
  <c r="F19" i="11"/>
  <c r="G19" i="11"/>
  <c r="H19" i="11"/>
  <c r="I19" i="11"/>
  <c r="C20" i="11"/>
  <c r="D20" i="11"/>
  <c r="E20" i="11"/>
  <c r="F20" i="11"/>
  <c r="G20" i="11"/>
  <c r="H20" i="11"/>
  <c r="I20" i="11"/>
  <c r="C21" i="11"/>
  <c r="D21" i="11"/>
  <c r="E21" i="11"/>
  <c r="F21" i="11"/>
  <c r="G21" i="11"/>
  <c r="H21" i="11"/>
  <c r="I21" i="11"/>
  <c r="C22" i="11"/>
  <c r="D22" i="11"/>
  <c r="E22" i="11"/>
  <c r="F22" i="11"/>
  <c r="G22" i="11"/>
  <c r="H22" i="11"/>
  <c r="I22" i="11"/>
  <c r="C23" i="11"/>
  <c r="D23" i="11"/>
  <c r="E23" i="11"/>
  <c r="F23" i="11"/>
  <c r="G23" i="11"/>
  <c r="H23" i="11"/>
  <c r="I23" i="11"/>
  <c r="C24" i="11"/>
  <c r="D24" i="11"/>
  <c r="E24" i="11"/>
  <c r="F24" i="11"/>
  <c r="G24" i="11"/>
  <c r="H24" i="11"/>
  <c r="I24" i="11"/>
  <c r="C25" i="11"/>
  <c r="D25" i="11"/>
  <c r="E25" i="11"/>
  <c r="F25" i="11"/>
  <c r="G25" i="11"/>
  <c r="H25" i="11"/>
  <c r="I25" i="11"/>
  <c r="C26" i="11"/>
  <c r="D26" i="11"/>
  <c r="E26" i="11"/>
  <c r="F26" i="11"/>
  <c r="G26" i="11"/>
  <c r="H26" i="11"/>
  <c r="I26" i="11"/>
  <c r="C27" i="11"/>
  <c r="D27" i="11"/>
  <c r="E27" i="11"/>
  <c r="F27" i="11"/>
  <c r="G27" i="11"/>
  <c r="H27" i="11"/>
  <c r="I27" i="11"/>
  <c r="C28" i="11"/>
  <c r="D28" i="11"/>
  <c r="E28" i="11"/>
  <c r="F28" i="11"/>
  <c r="G28" i="11"/>
  <c r="H28" i="11"/>
  <c r="I28" i="11"/>
  <c r="C29" i="11"/>
  <c r="D29" i="11"/>
  <c r="E29" i="11"/>
  <c r="F29" i="11"/>
  <c r="G29" i="11"/>
  <c r="H29" i="11"/>
  <c r="I29" i="11"/>
  <c r="C30" i="11"/>
  <c r="D30" i="11"/>
  <c r="E30" i="11"/>
  <c r="F30" i="11"/>
  <c r="G30" i="11"/>
  <c r="H30" i="11"/>
  <c r="I30" i="11"/>
  <c r="C31" i="11"/>
  <c r="D31" i="11"/>
  <c r="E31" i="11"/>
  <c r="F31" i="11"/>
  <c r="G31" i="11"/>
  <c r="H31" i="11"/>
  <c r="I31" i="11"/>
  <c r="C32" i="11"/>
  <c r="D32" i="11"/>
  <c r="E32" i="11"/>
  <c r="F32" i="11"/>
  <c r="G32" i="11"/>
  <c r="H32" i="11"/>
  <c r="I32" i="11"/>
  <c r="C33" i="11"/>
  <c r="D33" i="11"/>
  <c r="E33" i="11"/>
  <c r="F33" i="11"/>
  <c r="G33" i="11"/>
  <c r="H33" i="11"/>
  <c r="I33" i="11"/>
  <c r="C34" i="11"/>
  <c r="D34" i="11"/>
  <c r="E34" i="11"/>
  <c r="F34" i="11"/>
  <c r="G34" i="11"/>
  <c r="H34" i="11"/>
  <c r="I34" i="11"/>
  <c r="C35" i="11"/>
  <c r="D35" i="11"/>
  <c r="E35" i="11"/>
  <c r="F35" i="11"/>
  <c r="G35" i="11"/>
  <c r="H35" i="11"/>
  <c r="I35" i="11"/>
  <c r="C36" i="11"/>
  <c r="D36" i="11"/>
  <c r="E36" i="11"/>
  <c r="F36" i="11"/>
  <c r="G36" i="11"/>
  <c r="H36" i="11"/>
  <c r="I36" i="11"/>
  <c r="C37" i="11"/>
  <c r="D37" i="11"/>
  <c r="E37" i="11"/>
  <c r="F37" i="11"/>
  <c r="G37" i="11"/>
  <c r="H37" i="11"/>
  <c r="I37" i="11"/>
  <c r="C38" i="11"/>
  <c r="D38" i="11"/>
  <c r="E38" i="11"/>
  <c r="F38" i="11"/>
  <c r="G38" i="11"/>
  <c r="H38" i="11"/>
  <c r="I38" i="11"/>
  <c r="C39" i="11"/>
  <c r="D39" i="11"/>
  <c r="E39" i="11"/>
  <c r="F39" i="11"/>
  <c r="G39" i="11"/>
  <c r="H39" i="11"/>
  <c r="I39" i="11"/>
  <c r="C40" i="11"/>
  <c r="D40" i="11"/>
  <c r="E40" i="11"/>
  <c r="F40" i="11"/>
  <c r="G40" i="11"/>
  <c r="H40" i="11"/>
  <c r="I40" i="11"/>
  <c r="C41" i="11"/>
  <c r="D41" i="11"/>
  <c r="E41" i="11"/>
  <c r="F41" i="11"/>
  <c r="G41" i="11"/>
  <c r="H41" i="11"/>
  <c r="I41" i="11"/>
  <c r="C42" i="11"/>
  <c r="D42" i="11"/>
  <c r="E42" i="11"/>
  <c r="F42" i="11"/>
  <c r="G42" i="11"/>
  <c r="H42" i="11"/>
  <c r="I42" i="11"/>
  <c r="C43" i="11"/>
  <c r="D43" i="11"/>
  <c r="E43" i="11"/>
  <c r="F43" i="11"/>
  <c r="G43" i="11"/>
  <c r="H43" i="11"/>
  <c r="I43" i="11"/>
  <c r="C44" i="11"/>
  <c r="D44" i="11"/>
  <c r="E44" i="11"/>
  <c r="F44" i="11"/>
  <c r="G44" i="11"/>
  <c r="H44" i="11"/>
  <c r="I44" i="11"/>
  <c r="C45" i="11"/>
  <c r="D45" i="11"/>
  <c r="E45" i="11"/>
  <c r="F45" i="11"/>
  <c r="G45" i="11"/>
  <c r="H45" i="11"/>
  <c r="I45" i="11"/>
  <c r="C46" i="11"/>
  <c r="D46" i="11"/>
  <c r="E46" i="11"/>
  <c r="F46" i="11"/>
  <c r="G46" i="11"/>
  <c r="H46" i="11"/>
  <c r="I46" i="11"/>
  <c r="I12" i="11"/>
  <c r="H12" i="11"/>
  <c r="G12" i="11"/>
  <c r="F12" i="11"/>
  <c r="E12" i="11"/>
  <c r="D12" i="11"/>
  <c r="C12" i="11"/>
  <c r="N172" i="33" l="1"/>
  <c r="C172" i="33"/>
  <c r="D172" i="33"/>
  <c r="E172" i="33"/>
  <c r="J172" i="33"/>
  <c r="L172" i="33"/>
  <c r="M172" i="33"/>
  <c r="I172" i="33"/>
  <c r="K172" i="33"/>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G168" i="1" l="1"/>
  <c r="G144" i="1"/>
  <c r="G132" i="1"/>
  <c r="G108" i="1"/>
  <c r="G84" i="1"/>
  <c r="A99" i="29" s="1"/>
  <c r="G60" i="1"/>
  <c r="A75" i="29" s="1"/>
  <c r="G36" i="1"/>
  <c r="A51" i="29" s="1"/>
  <c r="G179" i="1"/>
  <c r="G155" i="1"/>
  <c r="G143" i="1"/>
  <c r="G119" i="1"/>
  <c r="G107" i="1"/>
  <c r="G71" i="1"/>
  <c r="A86" i="29" s="1"/>
  <c r="G47" i="1"/>
  <c r="A62" i="29" s="1"/>
  <c r="G166" i="1"/>
  <c r="G154" i="1"/>
  <c r="G130" i="1"/>
  <c r="G118" i="1"/>
  <c r="G94" i="1"/>
  <c r="G82" i="1"/>
  <c r="A97" i="29" s="1"/>
  <c r="G46" i="1"/>
  <c r="A61" i="29" s="1"/>
  <c r="G177" i="1"/>
  <c r="G165" i="1"/>
  <c r="G141" i="1"/>
  <c r="G117" i="1"/>
  <c r="G105" i="1"/>
  <c r="G81" i="1"/>
  <c r="A96" i="29" s="1"/>
  <c r="G176" i="1"/>
  <c r="G152" i="1"/>
  <c r="G128" i="1"/>
  <c r="G104" i="1"/>
  <c r="G56" i="1"/>
  <c r="A71" i="29" s="1"/>
  <c r="G175" i="1"/>
  <c r="G127" i="1"/>
  <c r="G103" i="1"/>
  <c r="G79" i="1"/>
  <c r="A94" i="29" s="1"/>
  <c r="G43" i="1"/>
  <c r="A58" i="29" s="1"/>
  <c r="G125" i="1"/>
  <c r="G180" i="1"/>
  <c r="G156" i="1"/>
  <c r="G120" i="1"/>
  <c r="G96" i="1"/>
  <c r="G72" i="1"/>
  <c r="A87" i="29" s="1"/>
  <c r="G48" i="1"/>
  <c r="A63" i="29" s="1"/>
  <c r="G167" i="1"/>
  <c r="G131" i="1"/>
  <c r="G95" i="1"/>
  <c r="G59" i="1"/>
  <c r="A74" i="29" s="1"/>
  <c r="G178" i="1"/>
  <c r="G142" i="1"/>
  <c r="G106" i="1"/>
  <c r="G70" i="1"/>
  <c r="A85" i="29" s="1"/>
  <c r="G58" i="1"/>
  <c r="A73" i="29" s="1"/>
  <c r="G34" i="1"/>
  <c r="A49" i="29" s="1"/>
  <c r="G153" i="1"/>
  <c r="G129" i="1"/>
  <c r="G93" i="1"/>
  <c r="G69" i="1"/>
  <c r="A84" i="29" s="1"/>
  <c r="G57" i="1"/>
  <c r="A72" i="29" s="1"/>
  <c r="G45" i="1"/>
  <c r="A60" i="29" s="1"/>
  <c r="G164" i="1"/>
  <c r="G140" i="1"/>
  <c r="G116" i="1"/>
  <c r="G92" i="1"/>
  <c r="G80" i="1"/>
  <c r="A95" i="29" s="1"/>
  <c r="G68" i="1"/>
  <c r="A83" i="29" s="1"/>
  <c r="G44" i="1"/>
  <c r="A59" i="29" s="1"/>
  <c r="G163" i="1"/>
  <c r="G151" i="1"/>
  <c r="G139" i="1"/>
  <c r="G115" i="1"/>
  <c r="G91" i="1"/>
  <c r="G67" i="1"/>
  <c r="A82" i="29" s="1"/>
  <c r="G55" i="1"/>
  <c r="A70" i="29" s="1"/>
  <c r="G174" i="1"/>
  <c r="G162" i="1"/>
  <c r="G150" i="1"/>
  <c r="G138" i="1"/>
  <c r="G126" i="1"/>
  <c r="G114" i="1"/>
  <c r="G102" i="1"/>
  <c r="G90" i="1"/>
  <c r="G78" i="1"/>
  <c r="A93" i="29" s="1"/>
  <c r="G66" i="1"/>
  <c r="A81" i="29" s="1"/>
  <c r="G54" i="1"/>
  <c r="A69" i="29" s="1"/>
  <c r="G42" i="1"/>
  <c r="A57" i="29" s="1"/>
  <c r="G173" i="1"/>
  <c r="G161" i="1"/>
  <c r="G149" i="1"/>
  <c r="G137" i="1"/>
  <c r="G113" i="1"/>
  <c r="G101" i="1"/>
  <c r="G89" i="1"/>
  <c r="G77" i="1"/>
  <c r="A92" i="29" s="1"/>
  <c r="G65" i="1"/>
  <c r="A80" i="29" s="1"/>
  <c r="G53" i="1"/>
  <c r="A68" i="29" s="1"/>
  <c r="G41" i="1"/>
  <c r="A56" i="29" s="1"/>
  <c r="G172" i="1"/>
  <c r="G160" i="1"/>
  <c r="G148" i="1"/>
  <c r="G136" i="1"/>
  <c r="G124" i="1"/>
  <c r="G112" i="1"/>
  <c r="G100" i="1"/>
  <c r="G88" i="1"/>
  <c r="G76" i="1"/>
  <c r="A91" i="29" s="1"/>
  <c r="G64" i="1"/>
  <c r="A79" i="29" s="1"/>
  <c r="G52" i="1"/>
  <c r="A67" i="29" s="1"/>
  <c r="G40" i="1"/>
  <c r="A55" i="29" s="1"/>
  <c r="G171" i="1"/>
  <c r="G159" i="1"/>
  <c r="G147" i="1"/>
  <c r="G135" i="1"/>
  <c r="G123" i="1"/>
  <c r="G111" i="1"/>
  <c r="G99" i="1"/>
  <c r="G87" i="1"/>
  <c r="G75" i="1"/>
  <c r="A90" i="29" s="1"/>
  <c r="G63" i="1"/>
  <c r="A78" i="29" s="1"/>
  <c r="G51" i="1"/>
  <c r="A66" i="29" s="1"/>
  <c r="G39" i="1"/>
  <c r="A54" i="29" s="1"/>
  <c r="G170" i="1"/>
  <c r="G158" i="1"/>
  <c r="G146" i="1"/>
  <c r="G134" i="1"/>
  <c r="G122" i="1"/>
  <c r="G110" i="1"/>
  <c r="G98" i="1"/>
  <c r="G86" i="1"/>
  <c r="G74" i="1"/>
  <c r="A89" i="29" s="1"/>
  <c r="G62" i="1"/>
  <c r="A77" i="29" s="1"/>
  <c r="G50" i="1"/>
  <c r="A65" i="29" s="1"/>
  <c r="G38" i="1"/>
  <c r="A53" i="29" s="1"/>
  <c r="G181" i="1"/>
  <c r="G169" i="1"/>
  <c r="G157" i="1"/>
  <c r="G145" i="1"/>
  <c r="G133" i="1"/>
  <c r="G121" i="1"/>
  <c r="G109" i="1"/>
  <c r="G97" i="1"/>
  <c r="G85" i="1"/>
  <c r="A100" i="29" s="1"/>
  <c r="G73" i="1"/>
  <c r="A88" i="29" s="1"/>
  <c r="G61" i="1"/>
  <c r="A76" i="29" s="1"/>
  <c r="G49" i="1"/>
  <c r="A64" i="29" s="1"/>
  <c r="G37" i="1"/>
  <c r="A52" i="29" s="1"/>
  <c r="G35" i="1"/>
  <c r="A50" i="29" s="1"/>
  <c r="G83" i="1"/>
  <c r="A98" i="29" s="1"/>
  <c r="G33" i="1"/>
  <c r="A48" i="29" s="1"/>
  <c r="A47" i="29"/>
  <c r="B33" i="3"/>
  <c r="B32" i="3"/>
  <c r="B31" i="3"/>
  <c r="B30" i="3"/>
  <c r="B29" i="3"/>
  <c r="B28" i="3"/>
  <c r="B27" i="3"/>
  <c r="B26" i="3"/>
  <c r="C18" i="29"/>
  <c r="B20" i="3"/>
  <c r="L17" i="2" l="1"/>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C7" i="11"/>
  <c r="B51" i="3"/>
  <c r="B50" i="3"/>
  <c r="B19" i="3"/>
  <c r="B18" i="3"/>
  <c r="B17" i="3"/>
  <c r="B16" i="3"/>
  <c r="B15" i="3"/>
  <c r="B14" i="3"/>
  <c r="B13" i="3"/>
  <c r="B12" i="3"/>
  <c r="B11" i="3"/>
  <c r="D86" i="19"/>
  <c r="A35" i="29" l="1"/>
  <c r="I15" i="29"/>
  <c r="I14" i="29"/>
  <c r="I13" i="29"/>
  <c r="I12" i="29"/>
  <c r="I11" i="29"/>
  <c r="C13" i="29"/>
  <c r="C14" i="29"/>
  <c r="C15" i="29"/>
  <c r="C16" i="29"/>
  <c r="C17" i="29"/>
  <c r="C12" i="29"/>
  <c r="C64" i="32"/>
  <c r="D64" i="32" s="1"/>
  <c r="C63" i="32"/>
  <c r="D63" i="32" s="1"/>
  <c r="C62" i="32"/>
  <c r="D62" i="32" s="1"/>
  <c r="B11" i="30"/>
  <c r="B10" i="30"/>
  <c r="B9" i="30"/>
  <c r="B8" i="30"/>
  <c r="B7" i="30"/>
  <c r="B2" i="31"/>
  <c r="I16" i="29"/>
  <c r="C24" i="29" l="1"/>
  <c r="D165" i="2" l="1"/>
  <c r="C165" i="2"/>
  <c r="B165" i="2"/>
  <c r="A165" i="2"/>
  <c r="D164" i="2"/>
  <c r="C164" i="2"/>
  <c r="B164" i="2"/>
  <c r="A164" i="2"/>
  <c r="D163" i="2"/>
  <c r="C163" i="2"/>
  <c r="B163" i="2"/>
  <c r="A163" i="2"/>
  <c r="D162" i="2"/>
  <c r="C162" i="2"/>
  <c r="B162" i="2"/>
  <c r="A162" i="2"/>
  <c r="D161" i="2"/>
  <c r="C161" i="2"/>
  <c r="B161" i="2"/>
  <c r="A161" i="2"/>
  <c r="D160" i="2"/>
  <c r="C160" i="2"/>
  <c r="B160" i="2"/>
  <c r="A160" i="2"/>
  <c r="D159" i="2"/>
  <c r="C159" i="2"/>
  <c r="B159" i="2"/>
  <c r="A159" i="2"/>
  <c r="D158" i="2"/>
  <c r="C158" i="2"/>
  <c r="B158" i="2"/>
  <c r="A158" i="2"/>
  <c r="D157" i="2"/>
  <c r="C157" i="2"/>
  <c r="B157" i="2"/>
  <c r="A157" i="2"/>
  <c r="D156" i="2"/>
  <c r="C156" i="2"/>
  <c r="B156" i="2"/>
  <c r="A156" i="2"/>
  <c r="D155" i="2"/>
  <c r="C155" i="2"/>
  <c r="B155" i="2"/>
  <c r="A155" i="2"/>
  <c r="D154" i="2"/>
  <c r="C154" i="2"/>
  <c r="B154" i="2"/>
  <c r="A154" i="2"/>
  <c r="D153" i="2"/>
  <c r="C153" i="2"/>
  <c r="B153" i="2"/>
  <c r="A153" i="2"/>
  <c r="D152" i="2"/>
  <c r="C152" i="2"/>
  <c r="B152" i="2"/>
  <c r="A152" i="2"/>
  <c r="D151" i="2"/>
  <c r="C151" i="2"/>
  <c r="B151" i="2"/>
  <c r="A151" i="2"/>
  <c r="D150" i="2"/>
  <c r="C150" i="2"/>
  <c r="B150" i="2"/>
  <c r="A150" i="2"/>
  <c r="D149" i="2"/>
  <c r="C149" i="2"/>
  <c r="B149" i="2"/>
  <c r="A149" i="2"/>
  <c r="D148" i="2"/>
  <c r="C148" i="2"/>
  <c r="B148" i="2"/>
  <c r="A148" i="2"/>
  <c r="D147" i="2"/>
  <c r="C147" i="2"/>
  <c r="B147" i="2"/>
  <c r="A147" i="2"/>
  <c r="D146" i="2"/>
  <c r="C146" i="2"/>
  <c r="B146" i="2"/>
  <c r="A146" i="2"/>
  <c r="D145" i="2"/>
  <c r="C145" i="2"/>
  <c r="B145" i="2"/>
  <c r="A145" i="2"/>
  <c r="D144" i="2"/>
  <c r="C144" i="2"/>
  <c r="B144" i="2"/>
  <c r="A144" i="2"/>
  <c r="D143" i="2"/>
  <c r="C143" i="2"/>
  <c r="B143" i="2"/>
  <c r="A143" i="2"/>
  <c r="D142" i="2"/>
  <c r="C142" i="2"/>
  <c r="B142" i="2"/>
  <c r="A142" i="2"/>
  <c r="D141" i="2"/>
  <c r="C141" i="2"/>
  <c r="B141" i="2"/>
  <c r="A141" i="2"/>
  <c r="D140" i="2"/>
  <c r="C140" i="2"/>
  <c r="B140" i="2"/>
  <c r="A140" i="2"/>
  <c r="D139" i="2"/>
  <c r="C139" i="2"/>
  <c r="B139" i="2"/>
  <c r="A139" i="2"/>
  <c r="D138" i="2"/>
  <c r="C138" i="2"/>
  <c r="B138" i="2"/>
  <c r="A138" i="2"/>
  <c r="D137" i="2"/>
  <c r="C137" i="2"/>
  <c r="B137" i="2"/>
  <c r="A137" i="2"/>
  <c r="D136" i="2"/>
  <c r="C136" i="2"/>
  <c r="B136" i="2"/>
  <c r="A136" i="2"/>
  <c r="D135" i="2"/>
  <c r="C135" i="2"/>
  <c r="B135" i="2"/>
  <c r="A135" i="2"/>
  <c r="D134" i="2"/>
  <c r="C134" i="2"/>
  <c r="B134" i="2"/>
  <c r="A134" i="2"/>
  <c r="D133" i="2"/>
  <c r="C133" i="2"/>
  <c r="B133" i="2"/>
  <c r="A133" i="2"/>
  <c r="D132" i="2"/>
  <c r="C132" i="2"/>
  <c r="B132" i="2"/>
  <c r="A132" i="2"/>
  <c r="D131" i="2"/>
  <c r="C131" i="2"/>
  <c r="B131" i="2"/>
  <c r="A131" i="2"/>
  <c r="D130" i="2"/>
  <c r="C130" i="2"/>
  <c r="B130" i="2"/>
  <c r="A130" i="2"/>
  <c r="D129" i="2"/>
  <c r="C129" i="2"/>
  <c r="B129" i="2"/>
  <c r="A129" i="2"/>
  <c r="D128" i="2"/>
  <c r="C128" i="2"/>
  <c r="B128" i="2"/>
  <c r="A128" i="2"/>
  <c r="D127" i="2"/>
  <c r="C127" i="2"/>
  <c r="B127" i="2"/>
  <c r="A127" i="2"/>
  <c r="D126" i="2"/>
  <c r="C126" i="2"/>
  <c r="B126" i="2"/>
  <c r="A126" i="2"/>
  <c r="D125" i="2"/>
  <c r="C125" i="2"/>
  <c r="B125" i="2"/>
  <c r="A125" i="2"/>
  <c r="D124" i="2"/>
  <c r="C124" i="2"/>
  <c r="B124" i="2"/>
  <c r="A124" i="2"/>
  <c r="D123" i="2"/>
  <c r="C123" i="2"/>
  <c r="B123" i="2"/>
  <c r="A123" i="2"/>
  <c r="D122" i="2"/>
  <c r="C122" i="2"/>
  <c r="B122" i="2"/>
  <c r="A122" i="2"/>
  <c r="D121" i="2"/>
  <c r="C121" i="2"/>
  <c r="B121" i="2"/>
  <c r="A121" i="2"/>
  <c r="D120" i="2"/>
  <c r="C120" i="2"/>
  <c r="B120" i="2"/>
  <c r="A120" i="2"/>
  <c r="D119" i="2"/>
  <c r="C119" i="2"/>
  <c r="B119" i="2"/>
  <c r="A119" i="2"/>
  <c r="D118" i="2"/>
  <c r="C118" i="2"/>
  <c r="B118" i="2"/>
  <c r="A118" i="2"/>
  <c r="D117" i="2"/>
  <c r="C117" i="2"/>
  <c r="B117" i="2"/>
  <c r="A117" i="2"/>
  <c r="D116" i="2"/>
  <c r="C116" i="2"/>
  <c r="B116" i="2"/>
  <c r="A116" i="2"/>
  <c r="D115" i="2"/>
  <c r="C115" i="2"/>
  <c r="B115" i="2"/>
  <c r="A115" i="2"/>
  <c r="D114" i="2"/>
  <c r="C114" i="2"/>
  <c r="B114" i="2"/>
  <c r="A114" i="2"/>
  <c r="D113" i="2"/>
  <c r="C113" i="2"/>
  <c r="B113" i="2"/>
  <c r="A113" i="2"/>
  <c r="D112" i="2"/>
  <c r="C112" i="2"/>
  <c r="B112" i="2"/>
  <c r="A112" i="2"/>
  <c r="D111" i="2"/>
  <c r="C111" i="2"/>
  <c r="B111" i="2"/>
  <c r="A111" i="2"/>
  <c r="D110" i="2"/>
  <c r="C110" i="2"/>
  <c r="B110" i="2"/>
  <c r="A110" i="2"/>
  <c r="D109" i="2"/>
  <c r="C109" i="2"/>
  <c r="B109" i="2"/>
  <c r="A109" i="2"/>
  <c r="D108" i="2"/>
  <c r="C108" i="2"/>
  <c r="B108" i="2"/>
  <c r="A108" i="2"/>
  <c r="D107" i="2"/>
  <c r="C107" i="2"/>
  <c r="B107" i="2"/>
  <c r="A107" i="2"/>
  <c r="D106" i="2"/>
  <c r="C106" i="2"/>
  <c r="B106" i="2"/>
  <c r="A106" i="2"/>
  <c r="D105" i="2"/>
  <c r="C105" i="2"/>
  <c r="B105" i="2"/>
  <c r="A105" i="2"/>
  <c r="D104" i="2"/>
  <c r="C104" i="2"/>
  <c r="B104" i="2"/>
  <c r="A104" i="2"/>
  <c r="D103" i="2"/>
  <c r="C103" i="2"/>
  <c r="B103" i="2"/>
  <c r="A103" i="2"/>
  <c r="D102" i="2"/>
  <c r="C102" i="2"/>
  <c r="B102" i="2"/>
  <c r="A102" i="2"/>
  <c r="D101" i="2"/>
  <c r="C101" i="2"/>
  <c r="B101" i="2"/>
  <c r="A101" i="2"/>
  <c r="D100" i="2"/>
  <c r="C100" i="2"/>
  <c r="B100" i="2"/>
  <c r="A100" i="2"/>
  <c r="D99" i="2"/>
  <c r="C99" i="2"/>
  <c r="B99" i="2"/>
  <c r="A99" i="2"/>
  <c r="D98" i="2"/>
  <c r="C98" i="2"/>
  <c r="B98" i="2"/>
  <c r="A98" i="2"/>
  <c r="D97" i="2"/>
  <c r="C97" i="2"/>
  <c r="B97" i="2"/>
  <c r="A97" i="2"/>
  <c r="D96" i="2"/>
  <c r="C96" i="2"/>
  <c r="B96" i="2"/>
  <c r="A96" i="2"/>
  <c r="D95" i="2"/>
  <c r="C95" i="2"/>
  <c r="B95" i="2"/>
  <c r="A95" i="2"/>
  <c r="D94" i="2"/>
  <c r="C94" i="2"/>
  <c r="B94" i="2"/>
  <c r="A94" i="2"/>
  <c r="D93" i="2"/>
  <c r="C93" i="2"/>
  <c r="B93" i="2"/>
  <c r="A93" i="2"/>
  <c r="D92" i="2"/>
  <c r="C92" i="2"/>
  <c r="B92" i="2"/>
  <c r="A92" i="2"/>
  <c r="D91" i="2"/>
  <c r="C91" i="2"/>
  <c r="B91" i="2"/>
  <c r="A91" i="2"/>
  <c r="D90" i="2"/>
  <c r="C90" i="2"/>
  <c r="B90" i="2"/>
  <c r="A90" i="2"/>
  <c r="D89" i="2"/>
  <c r="C89" i="2"/>
  <c r="B89" i="2"/>
  <c r="A89" i="2"/>
  <c r="D88" i="2"/>
  <c r="C88" i="2"/>
  <c r="B88" i="2"/>
  <c r="A88" i="2"/>
  <c r="D87" i="2"/>
  <c r="C87" i="2"/>
  <c r="B87" i="2"/>
  <c r="A87" i="2"/>
  <c r="D86" i="2"/>
  <c r="C86" i="2"/>
  <c r="B86" i="2"/>
  <c r="A86" i="2"/>
  <c r="D85" i="2"/>
  <c r="C85" i="2"/>
  <c r="B85" i="2"/>
  <c r="A85" i="2"/>
  <c r="D84" i="2"/>
  <c r="C84" i="2"/>
  <c r="B84" i="2"/>
  <c r="A84" i="2"/>
  <c r="D83" i="2"/>
  <c r="C83" i="2"/>
  <c r="B83" i="2"/>
  <c r="A83" i="2"/>
  <c r="D82" i="2"/>
  <c r="C82" i="2"/>
  <c r="B82" i="2"/>
  <c r="A82" i="2"/>
  <c r="D81" i="2"/>
  <c r="C81" i="2"/>
  <c r="B81" i="2"/>
  <c r="A81" i="2"/>
  <c r="D80" i="2"/>
  <c r="C80" i="2"/>
  <c r="B80" i="2"/>
  <c r="A80" i="2"/>
  <c r="D79" i="2"/>
  <c r="C79" i="2"/>
  <c r="B79" i="2"/>
  <c r="A79" i="2"/>
  <c r="D78" i="2"/>
  <c r="C78" i="2"/>
  <c r="B78" i="2"/>
  <c r="A78" i="2"/>
  <c r="D77" i="2"/>
  <c r="C77" i="2"/>
  <c r="B77" i="2"/>
  <c r="A77" i="2"/>
  <c r="D76" i="2"/>
  <c r="C76" i="2"/>
  <c r="B76" i="2"/>
  <c r="A76" i="2"/>
  <c r="D75" i="2"/>
  <c r="C75" i="2"/>
  <c r="B75" i="2"/>
  <c r="A75" i="2"/>
  <c r="D74" i="2"/>
  <c r="C74" i="2"/>
  <c r="B74" i="2"/>
  <c r="A74" i="2"/>
  <c r="D73" i="2"/>
  <c r="C73" i="2"/>
  <c r="B73" i="2"/>
  <c r="A73" i="2"/>
  <c r="D72" i="2"/>
  <c r="C72" i="2"/>
  <c r="B72" i="2"/>
  <c r="A72" i="2"/>
  <c r="D71" i="2"/>
  <c r="C71" i="2"/>
  <c r="B71" i="2"/>
  <c r="A71" i="2"/>
  <c r="D70" i="2"/>
  <c r="C70" i="2"/>
  <c r="B70" i="2"/>
  <c r="A70" i="2"/>
  <c r="D69" i="2"/>
  <c r="C69" i="2"/>
  <c r="B69" i="2"/>
  <c r="A69" i="2"/>
  <c r="D68" i="2"/>
  <c r="C68" i="2"/>
  <c r="B68" i="2"/>
  <c r="A68" i="2"/>
  <c r="D67" i="2"/>
  <c r="C67" i="2"/>
  <c r="B67" i="2"/>
  <c r="A67" i="2"/>
  <c r="D66" i="2"/>
  <c r="C66" i="2"/>
  <c r="B66" i="2"/>
  <c r="A66" i="2"/>
  <c r="D65" i="2"/>
  <c r="C65" i="2"/>
  <c r="B65" i="2"/>
  <c r="A65" i="2"/>
  <c r="D64" i="2"/>
  <c r="C64" i="2"/>
  <c r="B64" i="2"/>
  <c r="A64" i="2"/>
  <c r="D63" i="2"/>
  <c r="C63" i="2"/>
  <c r="B63" i="2"/>
  <c r="A63" i="2"/>
  <c r="D62" i="2"/>
  <c r="C62" i="2"/>
  <c r="B62" i="2"/>
  <c r="A62" i="2"/>
  <c r="D61" i="2"/>
  <c r="C61" i="2"/>
  <c r="B61" i="2"/>
  <c r="A61" i="2"/>
  <c r="D60" i="2"/>
  <c r="C60" i="2"/>
  <c r="B60" i="2"/>
  <c r="A60" i="2"/>
  <c r="D59" i="2"/>
  <c r="C59" i="2"/>
  <c r="B59" i="2"/>
  <c r="A59" i="2"/>
  <c r="D58" i="2"/>
  <c r="C58" i="2"/>
  <c r="B58" i="2"/>
  <c r="A58" i="2"/>
  <c r="D57" i="2"/>
  <c r="C57" i="2"/>
  <c r="B57" i="2"/>
  <c r="A57" i="2"/>
  <c r="D56" i="2"/>
  <c r="C56" i="2"/>
  <c r="B56" i="2"/>
  <c r="A56" i="2"/>
  <c r="D55" i="2"/>
  <c r="C55" i="2"/>
  <c r="B55" i="2"/>
  <c r="A55" i="2"/>
  <c r="D54" i="2"/>
  <c r="C54" i="2"/>
  <c r="B54" i="2"/>
  <c r="A54" i="2"/>
  <c r="D53" i="2"/>
  <c r="C53" i="2"/>
  <c r="B53" i="2"/>
  <c r="A53" i="2"/>
  <c r="D52" i="2"/>
  <c r="C52" i="2"/>
  <c r="B52" i="2"/>
  <c r="A52" i="2"/>
  <c r="D51" i="2"/>
  <c r="C51" i="2"/>
  <c r="B51" i="2"/>
  <c r="A51" i="2"/>
  <c r="D50" i="2"/>
  <c r="C50" i="2"/>
  <c r="B50" i="2"/>
  <c r="A50" i="2"/>
  <c r="D49" i="2"/>
  <c r="C49" i="2"/>
  <c r="B49" i="2"/>
  <c r="A49" i="2"/>
  <c r="D48" i="2"/>
  <c r="C48" i="2"/>
  <c r="B48" i="2"/>
  <c r="A48" i="2"/>
  <c r="D47" i="2"/>
  <c r="C47" i="2"/>
  <c r="B47" i="2"/>
  <c r="A47" i="2"/>
  <c r="D46" i="2"/>
  <c r="C46" i="2"/>
  <c r="B46" i="2"/>
  <c r="A46" i="2"/>
  <c r="D45" i="2"/>
  <c r="C45" i="2"/>
  <c r="B45" i="2"/>
  <c r="A45" i="2"/>
  <c r="D44" i="2"/>
  <c r="C44" i="2"/>
  <c r="B44" i="2"/>
  <c r="A44" i="2"/>
  <c r="D43" i="2"/>
  <c r="C43" i="2"/>
  <c r="B43" i="2"/>
  <c r="A43" i="2"/>
  <c r="D42" i="2"/>
  <c r="C42" i="2"/>
  <c r="B42" i="2"/>
  <c r="A42" i="2"/>
  <c r="D41" i="2"/>
  <c r="C41" i="2"/>
  <c r="B41" i="2"/>
  <c r="A41" i="2"/>
  <c r="D40" i="2"/>
  <c r="C40" i="2"/>
  <c r="B40" i="2"/>
  <c r="A40" i="2"/>
  <c r="D39" i="2"/>
  <c r="C39" i="2"/>
  <c r="B39" i="2"/>
  <c r="A39" i="2"/>
  <c r="D38" i="2"/>
  <c r="C38" i="2"/>
  <c r="B38" i="2"/>
  <c r="A38" i="2"/>
  <c r="D37" i="2"/>
  <c r="C37" i="2"/>
  <c r="B37" i="2"/>
  <c r="A37" i="2"/>
  <c r="D36" i="2"/>
  <c r="C36" i="2"/>
  <c r="B36" i="2"/>
  <c r="A36" i="2"/>
  <c r="D35" i="2"/>
  <c r="C35" i="2"/>
  <c r="B35" i="2"/>
  <c r="A35" i="2"/>
  <c r="D34" i="2"/>
  <c r="C34" i="2"/>
  <c r="B34" i="2"/>
  <c r="A34" i="2"/>
  <c r="D33" i="2"/>
  <c r="C33" i="2"/>
  <c r="B33" i="2"/>
  <c r="A33" i="2"/>
  <c r="D32" i="2"/>
  <c r="C32" i="2"/>
  <c r="B32" i="2"/>
  <c r="A32" i="2"/>
  <c r="D31" i="2"/>
  <c r="C31" i="2"/>
  <c r="B31" i="2"/>
  <c r="A31" i="2"/>
  <c r="D30" i="2"/>
  <c r="C30" i="2"/>
  <c r="B30" i="2"/>
  <c r="A30" i="2"/>
  <c r="D29" i="2"/>
  <c r="C29" i="2"/>
  <c r="B29" i="2"/>
  <c r="A29" i="2"/>
  <c r="D28" i="2"/>
  <c r="C28" i="2"/>
  <c r="B28" i="2"/>
  <c r="A28" i="2"/>
  <c r="D27" i="2"/>
  <c r="C27" i="2"/>
  <c r="B27" i="2"/>
  <c r="A27" i="2"/>
  <c r="D26" i="2"/>
  <c r="C26" i="2"/>
  <c r="B26" i="2"/>
  <c r="A26" i="2"/>
  <c r="D25" i="2"/>
  <c r="C25" i="2"/>
  <c r="B25" i="2"/>
  <c r="A25" i="2"/>
  <c r="D24" i="2"/>
  <c r="C24" i="2"/>
  <c r="B24" i="2"/>
  <c r="A24" i="2"/>
  <c r="D23" i="2"/>
  <c r="C23" i="2"/>
  <c r="B23" i="2"/>
  <c r="A23" i="2"/>
  <c r="D22" i="2"/>
  <c r="C22" i="2"/>
  <c r="B22" i="2"/>
  <c r="A22" i="2"/>
  <c r="D21" i="2"/>
  <c r="C21" i="2"/>
  <c r="B21" i="2"/>
  <c r="A21" i="2"/>
  <c r="D20" i="2"/>
  <c r="C20" i="2"/>
  <c r="B20" i="2"/>
  <c r="A20" i="2"/>
  <c r="D19" i="2"/>
  <c r="C19" i="2"/>
  <c r="B19" i="2"/>
  <c r="A19" i="2"/>
  <c r="D18" i="2"/>
  <c r="C18" i="2"/>
  <c r="B18" i="2"/>
  <c r="A18" i="2"/>
  <c r="D17" i="2"/>
  <c r="C17" i="2"/>
  <c r="B17" i="2"/>
  <c r="A17" i="2"/>
  <c r="C31" i="29" l="1"/>
  <c r="I27" i="29"/>
  <c r="I26" i="29"/>
  <c r="C26" i="29"/>
  <c r="I25" i="29"/>
  <c r="C25" i="29"/>
  <c r="I24" i="29"/>
  <c r="A9" i="29"/>
  <c r="C30" i="29"/>
  <c r="C11" i="29" l="1"/>
  <c r="D16" i="2"/>
  <c r="C16" i="2"/>
  <c r="B16" i="2"/>
  <c r="A16" i="2"/>
  <c r="C4" i="1" l="1"/>
  <c r="B4" i="26" l="1"/>
  <c r="B4" i="2"/>
  <c r="C4" i="11"/>
  <c r="B4" i="3"/>
  <c r="B5" i="30" s="1"/>
  <c r="B4" i="19"/>
  <c r="B103" i="19" s="1"/>
  <c r="B6" i="26" l="1"/>
  <c r="B5" i="26"/>
  <c r="B6" i="2" l="1"/>
  <c r="B5" i="2"/>
  <c r="B6" i="3"/>
  <c r="B5" i="3"/>
  <c r="C6" i="11"/>
  <c r="C5" i="11"/>
  <c r="D12" i="2" l="1"/>
  <c r="D11" i="2"/>
  <c r="D10" i="2"/>
  <c r="D9" i="2"/>
  <c r="B6" i="19"/>
  <c r="B5" i="19"/>
  <c r="C10" i="2" l="1"/>
  <c r="C11" i="2"/>
  <c r="C12" i="2"/>
  <c r="C9" i="2"/>
  <c r="D8" i="2" l="1"/>
  <c r="L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Osmer, Tim (Fed)</author>
  </authors>
  <commentList>
    <comment ref="C3" authorId="0" shapeId="0" xr:uid="{00000000-0006-0000-0400-000001000000}">
      <text>
        <r>
          <rPr>
            <sz val="9"/>
            <color indexed="81"/>
            <rFont val="Tahoma"/>
            <family val="2"/>
          </rPr>
          <t>NCSLI Recommended Practice for Interlaboratory Comparisons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Harris, Georgia L. (Fed)</author>
    <author>Osmer, Tim (Fed)</author>
    <author>Nyangau, Wilson Ombati (IntlAssoc))</author>
  </authors>
  <commentList>
    <comment ref="C4" authorId="0" shapeId="0" xr:uid="{8C818ABF-CC50-4E77-8C81-7E759C7F5240}">
      <text>
        <r>
          <rPr>
            <sz val="9"/>
            <color indexed="81"/>
            <rFont val="Tahoma"/>
            <family val="2"/>
          </rPr>
          <t xml:space="preserve">Title is automatically generated from the drop down choices in the Scope of the PT section.
</t>
        </r>
      </text>
    </comment>
    <comment ref="C12" authorId="1" shapeId="0" xr:uid="{00000000-0006-0000-0500-000001000000}">
      <text>
        <r>
          <rPr>
            <sz val="9"/>
            <color indexed="81"/>
            <rFont val="Tahoma"/>
            <family val="2"/>
          </rPr>
          <t>Start with the largest nominal to the smallest nominal.
(e.g. 1 kg to 1 mg)</t>
        </r>
      </text>
    </comment>
    <comment ref="D25" authorId="1" shapeId="0" xr:uid="{00000000-0006-0000-0500-000002000000}">
      <text>
        <r>
          <rPr>
            <sz val="9"/>
            <color indexed="81"/>
            <rFont val="Tahoma"/>
            <family val="2"/>
          </rPr>
          <t>Typically the next RMAP, but sometimes it is needed earlier for another PT.</t>
        </r>
      </text>
    </comment>
    <comment ref="D26" authorId="1" shapeId="0" xr:uid="{00000000-0006-0000-0500-000003000000}">
      <text>
        <r>
          <rPr>
            <sz val="9"/>
            <color indexed="81"/>
            <rFont val="Tahoma"/>
            <family val="2"/>
          </rPr>
          <t>At least 2 months prior to the date the PT report is to be presented (your RMAP).</t>
        </r>
      </text>
    </comment>
    <comment ref="D27" authorId="1" shapeId="0" xr:uid="{00000000-0006-0000-0500-000004000000}">
      <text>
        <r>
          <rPr>
            <sz val="9"/>
            <color indexed="81"/>
            <rFont val="Tahoma"/>
            <family val="2"/>
          </rPr>
          <t>At the RMAP, or earlier if the PT is  completed.</t>
        </r>
      </text>
    </comment>
    <comment ref="H31" authorId="0" shapeId="0" xr:uid="{45BEAFC2-C007-4245-BA33-ACF30B6948F5}">
      <text>
        <r>
          <rPr>
            <sz val="9"/>
            <color indexed="81"/>
            <rFont val="Tahoma"/>
            <family val="2"/>
          </rPr>
          <t xml:space="preserve">Enter options:
1. </t>
        </r>
        <r>
          <rPr>
            <b/>
            <sz val="9"/>
            <color indexed="81"/>
            <rFont val="Tahoma"/>
            <family val="2"/>
          </rPr>
          <t xml:space="preserve">OK </t>
        </r>
        <r>
          <rPr>
            <sz val="9"/>
            <color indexed="81"/>
            <rFont val="Tahoma"/>
            <family val="2"/>
          </rPr>
          <t xml:space="preserve">(determined from OWM Records, History, or Form 2)
2. </t>
        </r>
        <r>
          <rPr>
            <b/>
            <sz val="9"/>
            <color indexed="81"/>
            <rFont val="Tahoma"/>
            <family val="2"/>
          </rPr>
          <t>Requires Oversight</t>
        </r>
        <r>
          <rPr>
            <sz val="9"/>
            <color indexed="81"/>
            <rFont val="Tahoma"/>
            <family val="2"/>
          </rPr>
          <t xml:space="preserve"> (include name of person providing Oversight in Column H)
</t>
        </r>
      </text>
    </comment>
    <comment ref="I31" authorId="0" shapeId="0" xr:uid="{0F8D8706-0928-4283-9485-3F26D93B5FDF}">
      <text>
        <r>
          <rPr>
            <sz val="9"/>
            <color indexed="81"/>
            <rFont val="Tahoma"/>
            <family val="2"/>
          </rPr>
          <t xml:space="preserve">Default - blank.
Only used if someone might need the results for the PT to use in their LAP Problem analysis.  Also select LAP problems as one of the PT objectives on sheet P2. 
</t>
        </r>
      </text>
    </comment>
    <comment ref="J31" authorId="0" shapeId="0" xr:uid="{BA94461A-C8B9-4A63-8C88-74005147A6B5}">
      <text>
        <r>
          <rPr>
            <sz val="9"/>
            <color indexed="81"/>
            <rFont val="Tahoma"/>
            <family val="2"/>
          </rPr>
          <t xml:space="preserve">Oversight By (Enter Name)
</t>
        </r>
      </text>
    </comment>
    <comment ref="F32" authorId="2" shapeId="0" xr:uid="{2A02C312-5A5D-4306-B996-1117F1D1A6B2}">
      <text>
        <r>
          <rPr>
            <b/>
            <sz val="9"/>
            <color indexed="81"/>
            <rFont val="Tahoma"/>
            <family val="2"/>
          </rPr>
          <t>Participant Name  e.g.,  Wilson Ombati.
(If an organization has more than one individual with the same first and last initial, the middle name/initial should be added.)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Osmer, Tim (Fed)</author>
    <author>Miller, Val R.</author>
  </authors>
  <commentList>
    <comment ref="B73" authorId="0" shapeId="0" xr:uid="{CBB68E8A-9F41-4E41-B11D-0C5755453F34}">
      <text>
        <r>
          <rPr>
            <sz val="9"/>
            <color indexed="81"/>
            <rFont val="Tahoma"/>
            <family val="2"/>
          </rPr>
          <t xml:space="preserve">Be specific with full document, title, and date of SOP: "NISTIR 7383 (2017 Ed), NIST SOP 19 (March 2017) Calibration of Graduated Neck-Type Metal Provers"
vs. 
"SOP 19"
Note if any laboratories request alternative procedures to be approved by OWM (must provide equivalent uncertainties to the standard SOP).
</t>
        </r>
      </text>
    </comment>
    <comment ref="B74" authorId="0" shapeId="0" xr:uid="{1B127F6B-D58A-4EF7-B3E8-2F3F01733DDB}">
      <text>
        <r>
          <rPr>
            <sz val="9"/>
            <color indexed="81"/>
            <rFont val="Tahoma"/>
            <family val="2"/>
          </rPr>
          <t xml:space="preserve">Be specific with full document, title, and date of SOP: "NISTIR 7383 (2017 Ed), NIST SOP 19 (March 2017) Calibration of Graduated Neck-Type Metal Provers"
vs. 
"SOP 19"
Note if any laboratories request alternative procedures to be approved by OWM (must provide equivalent uncertainties to the standard SOP).
</t>
        </r>
      </text>
    </comment>
    <comment ref="B75" authorId="0" shapeId="0" xr:uid="{721D6A46-5F57-41E7-8709-48BAC5ADA4A3}">
      <text>
        <r>
          <rPr>
            <sz val="9"/>
            <color indexed="81"/>
            <rFont val="Tahoma"/>
            <family val="2"/>
          </rPr>
          <t xml:space="preserve">Be specific with full document, title, and date of SOP: "NISTIR 7383 (2017 Ed), NIST SOP 19 (March 2017) Calibration of Graduated Neck-Type Metal Provers"
vs. 
"SOP 19"
Note if any laboratories request alternative procedures to be approved by OWM (must provide equivalent uncertainties to the standard SOP).
</t>
        </r>
      </text>
    </comment>
    <comment ref="B76" authorId="0" shapeId="0" xr:uid="{DB82A58A-94A8-46C1-AB9C-2359D9FA2C81}">
      <text>
        <r>
          <rPr>
            <sz val="9"/>
            <color indexed="81"/>
            <rFont val="Tahoma"/>
            <family val="2"/>
          </rPr>
          <t xml:space="preserve">Be specific with full document, title, and date of SOP: "NISTIR 7383 (2017 Ed), NIST SOP 19 (March 2017) Calibration of Graduated Neck-Type Metal Provers"
vs. 
"SOP 19"
Note if any laboratories request alternative procedures to be approved by OWM (must provide equivalent uncertainties to the standard SOP).
</t>
        </r>
      </text>
    </comment>
    <comment ref="B84" authorId="1" shapeId="0" xr:uid="{BF7018AA-9783-4C2D-A151-EAAB170D52F8}">
      <text>
        <r>
          <rPr>
            <sz val="9"/>
            <color indexed="81"/>
            <rFont val="Tahoma"/>
            <family val="2"/>
          </rPr>
          <t xml:space="preserve">Be specific:  e.g., Conventional Mass correction, Volume at the '0' graduation mark, Volume at the '0' graduation mark and 4 neck scale intervals, length between 7 inch and 13 inch graduations
</t>
        </r>
      </text>
    </comment>
    <comment ref="B92" authorId="0" shapeId="0" xr:uid="{85068B82-8786-4410-A247-D5B5B48BB08F}">
      <text>
        <r>
          <rPr>
            <sz val="9"/>
            <color indexed="81"/>
            <rFont val="Tahoma"/>
            <family val="2"/>
          </rPr>
          <t xml:space="preserve">This is the tolerance used to evaluate participants' data, and may differ from the classification for the artifact.
</t>
        </r>
      </text>
    </comment>
    <comment ref="B93" authorId="0" shapeId="0" xr:uid="{00000000-0006-0000-0600-000002000000}">
      <text>
        <r>
          <rPr>
            <sz val="9"/>
            <color indexed="81"/>
            <rFont val="Tahoma"/>
            <family val="2"/>
          </rPr>
          <t xml:space="preserve">This is the tolerance used to evaluate participants' data, and may differ from the classification for the artifact.
</t>
        </r>
      </text>
    </comment>
    <comment ref="B95" authorId="0" shapeId="0" xr:uid="{00000000-0006-0000-0600-000003000000}">
      <text>
        <r>
          <rPr>
            <sz val="9"/>
            <color indexed="81"/>
            <rFont val="Tahoma"/>
            <family val="2"/>
          </rPr>
          <t>Typically:
1/3 for Mass and Length
100 % for Volume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Osmer, Tim (Fed)</author>
  </authors>
  <commentList>
    <comment ref="B39" authorId="0" shapeId="0" xr:uid="{00000000-0006-0000-0700-000003000000}">
      <text>
        <r>
          <rPr>
            <sz val="9"/>
            <color indexed="81"/>
            <rFont val="Tahoma"/>
            <family val="2"/>
          </rPr>
          <t>Details and/or pictures specific to this ILC.</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Osmer, Tim (Fed)</author>
  </authors>
  <commentList>
    <comment ref="D10" authorId="0" shapeId="0" xr:uid="{00000000-0006-0000-0900-000001000000}">
      <text>
        <r>
          <rPr>
            <sz val="9"/>
            <color indexed="81"/>
            <rFont val="Tahoma"/>
            <family val="2"/>
          </rPr>
          <t>At least 2 months prior to your RMAP.</t>
        </r>
      </text>
    </comment>
    <comment ref="D11" authorId="0" shapeId="0" xr:uid="{00000000-0006-0000-0900-000002000000}">
      <text>
        <r>
          <rPr>
            <sz val="9"/>
            <color indexed="81"/>
            <rFont val="Tahoma"/>
            <family val="2"/>
          </rPr>
          <t>At the RMAP, or earlier if things are completed.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Harris, Georgia L. (Fed)</author>
  </authors>
  <commentList>
    <comment ref="F10" authorId="0" shapeId="0" xr:uid="{00000000-0006-0000-0A00-000001000000}">
      <text>
        <r>
          <rPr>
            <sz val="9"/>
            <color indexed="81"/>
            <rFont val="Tahoma"/>
            <family val="2"/>
          </rPr>
          <t>Format:
123-456-7890</t>
        </r>
      </text>
    </comment>
    <comment ref="K10" authorId="0" shapeId="0" xr:uid="{00000000-0006-0000-0A00-000002000000}">
      <text>
        <r>
          <rPr>
            <sz val="9"/>
            <color indexed="81"/>
            <rFont val="Tahoma"/>
            <family val="2"/>
          </rPr>
          <t>Enter format:
20XX-MM-DD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Harris, Georgia L. (Fed)</author>
    <author>Miller, Val R. (Fed)</author>
    <author>Georgia</author>
    <author>Dan Wright</author>
  </authors>
  <commentList>
    <comment ref="A9" authorId="0" shapeId="0" xr:uid="{3C0657C6-196C-4BB9-A32F-0924A9681AAF}">
      <text>
        <r>
          <rPr>
            <sz val="9"/>
            <color indexed="81"/>
            <rFont val="Tahoma"/>
            <family val="2"/>
          </rPr>
          <t xml:space="preserve">This section is automatically completed from the PT planning sheets. </t>
        </r>
      </text>
    </comment>
    <comment ref="I24" authorId="1" shapeId="0" xr:uid="{ED0EE653-549D-479A-BF00-07243EF036A8}">
      <text>
        <r>
          <rPr>
            <sz val="9"/>
            <color indexed="81"/>
            <rFont val="Tahoma"/>
            <family val="2"/>
          </rPr>
          <t xml:space="preserve">Verify that the complete owner information is visible.
NOTE: Expand the row height as needed to make the full owner information visible.
</t>
        </r>
      </text>
    </comment>
    <comment ref="C28" authorId="2" shapeId="0" xr:uid="{F971CFA7-BE63-4AE7-BD39-810CC6D7E590}">
      <text>
        <r>
          <rPr>
            <sz val="9"/>
            <color indexed="81"/>
            <rFont val="Tahoma"/>
            <family val="2"/>
          </rPr>
          <t>OWM to provide historical information for standards where available and relevant. OWM to review technical analysis and provide overall assessment of PT item stability as part of the PT Report. 
NOTE: Adjust row height manually to fit text. To do this, multiply row height by number of lines of text.</t>
        </r>
      </text>
    </comment>
    <comment ref="A101" authorId="3" shapeId="0" xr:uid="{1171F74D-D049-438D-80FB-0E0FF94ADEE2}">
      <text>
        <r>
          <rPr>
            <b/>
            <sz val="9"/>
            <color indexed="81"/>
            <rFont val="Tahoma"/>
            <family val="2"/>
          </rPr>
          <t>Insert row here. Highlight entire new row. Press Ctrl+D to copy down formulas.</t>
        </r>
        <r>
          <rPr>
            <sz val="9"/>
            <color indexed="81"/>
            <rFont val="Tahoma"/>
            <family val="2"/>
          </rPr>
          <t xml:space="preserve">
</t>
        </r>
      </text>
    </comment>
    <comment ref="A103" authorId="3" shapeId="0" xr:uid="{25C23187-C410-452D-A676-CDE1C9B61C9B}">
      <text>
        <r>
          <rPr>
            <b/>
            <sz val="9"/>
            <color indexed="81"/>
            <rFont val="Tahoma"/>
            <family val="2"/>
          </rPr>
          <t>NOTE: Adjust row height manually to fit text.</t>
        </r>
        <r>
          <rPr>
            <sz val="9"/>
            <color indexed="81"/>
            <rFont val="Tahoma"/>
            <family val="2"/>
          </rPr>
          <t xml:space="preserve">
</t>
        </r>
      </text>
    </comment>
    <comment ref="A104" authorId="3" shapeId="0" xr:uid="{EEA88852-4204-49F3-A081-163FF25D860A}">
      <text>
        <r>
          <rPr>
            <b/>
            <sz val="9"/>
            <color indexed="81"/>
            <rFont val="Tahoma"/>
            <family val="2"/>
          </rPr>
          <t>NOTE: Adjust row height manually to fit text.</t>
        </r>
        <r>
          <rPr>
            <sz val="9"/>
            <color indexed="81"/>
            <rFont val="Tahoma"/>
            <family val="2"/>
          </rPr>
          <t xml:space="preserve">
</t>
        </r>
      </text>
    </comment>
    <comment ref="A105" authorId="3" shapeId="0" xr:uid="{9D2A76DB-64A9-4760-929A-95EFE0A18E6B}">
      <text>
        <r>
          <rPr>
            <b/>
            <sz val="9"/>
            <color indexed="81"/>
            <rFont val="Tahoma"/>
            <family val="2"/>
          </rPr>
          <t>NOTE: Adjust row height manually to fit text.</t>
        </r>
        <r>
          <rPr>
            <sz val="9"/>
            <color indexed="81"/>
            <rFont val="Tahoma"/>
            <family val="2"/>
          </rPr>
          <t xml:space="preserve">
</t>
        </r>
      </text>
    </comment>
    <comment ref="A106" authorId="3" shapeId="0" xr:uid="{C11CDDF4-C593-46F0-A045-5BA70410F058}">
      <text>
        <r>
          <rPr>
            <b/>
            <sz val="9"/>
            <color indexed="81"/>
            <rFont val="Tahoma"/>
            <family val="2"/>
          </rPr>
          <t>NOTE: Adjust row height manually to fit text.</t>
        </r>
        <r>
          <rPr>
            <sz val="9"/>
            <color indexed="81"/>
            <rFont val="Tahoma"/>
            <family val="2"/>
          </rPr>
          <t xml:space="preserve">
</t>
        </r>
      </text>
    </comment>
    <comment ref="A107" authorId="3" shapeId="0" xr:uid="{486E7C07-1794-4BCE-8356-7342088F695E}">
      <text>
        <r>
          <rPr>
            <b/>
            <sz val="9"/>
            <color indexed="81"/>
            <rFont val="Tahoma"/>
            <family val="2"/>
          </rPr>
          <t>NOTE: Adjust row height manually to fit text.</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A28A1CE-B48E-4EA6-A27D-B3525AF2B702}" keepAlive="1" name="Query - Artifact Inventory" description="Connection to the 'Artifact Inventory' query in the workbook." type="5" refreshedVersion="8" background="1" saveData="1">
    <dbPr connection="Provider=Microsoft.Mashup.OleDb.1;Data Source=$Workbook$;Location=&quot;Artifact Inventory&quot;;Extended Properties=&quot;&quot;" command="SELECT * FROM [Artifact Inventory]"/>
  </connection>
</connections>
</file>

<file path=xl/sharedStrings.xml><?xml version="1.0" encoding="utf-8"?>
<sst xmlns="http://schemas.openxmlformats.org/spreadsheetml/2006/main" count="3676" uniqueCount="1593">
  <si>
    <t>Document Control</t>
  </si>
  <si>
    <t>Revision Date</t>
  </si>
  <si>
    <t>By</t>
  </si>
  <si>
    <t>Comments</t>
  </si>
  <si>
    <t>T. Osmer</t>
  </si>
  <si>
    <t>Original version for distribution.</t>
  </si>
  <si>
    <t>I. Chavez</t>
  </si>
  <si>
    <t>Edits/Changes collected at MidMap, internal OWM evaluation, and audit against 17043</t>
  </si>
  <si>
    <t>G. Harris</t>
  </si>
  <si>
    <t>Added the PT Report cover tab.</t>
  </si>
  <si>
    <t>V. Miller</t>
  </si>
  <si>
    <t>Expanded Tolerance Source Drop-down list to include tolerance classes for OIML R111 and ASTM E617 selections.</t>
  </si>
  <si>
    <t>Changed some merged cells on P3 to single cells so that cell will automatically expand when needed, Set row 31 on PT Report at double height and wrap text to enable fit of long preprogrammed content.  Verified that all data entry points are unlocked.  Edited equation in C4 of P2, P3, P4, O1, O2 to reference P1 cell C4 only, not C4:D4 which results in an error.</t>
  </si>
  <si>
    <t xml:space="preserve">An issue was discovered on the PT Report tab that it did not display the full artifact owner name in the report. The cell was made wider by merging with the next one to the right, set to wrap text and a comment ws inserted to verify that the full owner name is visible and to expand the row height as necessary.  </t>
  </si>
  <si>
    <t>An issue was discovered on the PT Report tab that it did not display the correct item description.  The Calibration Item reference was edited to point to P3: Artifact &amp; Shipping! B22.</t>
  </si>
  <si>
    <t>Additional formatting and content additions based on ISO/IEC DIS 17043:2022 and PT quality system reviews. Updated admin team and date drop down options. Ensured PT report pages are compliant with 17043.</t>
  </si>
  <si>
    <t>Standardizing naming and formats of the PT-Plan and PT-Analysis templates. Making sure the Revisions and User Instruction tabs are consistent.</t>
  </si>
  <si>
    <t>Filename:</t>
  </si>
  <si>
    <t>Feedback:</t>
  </si>
  <si>
    <t xml:space="preserve">Disclaimer for Users Outside the OWM PT Program </t>
  </si>
  <si>
    <t>NOTICE:
This PT Plan Template spreadsheet is a PT Planning "document" with no calculations or formula required to be validated. There are look-up tables and notes that should be approved as a part of the document approval process. Updated versions have dates saved in the yyyymmdd format at the end of the filename.  These Spreadsheets and associated materials have been prepared for use in OWM proficiency tests (PTs), and it is believed that the Spreadsheets provide a useful and accurate approach.  However, NIST OWM, is not liable for any changes performed by other parties. Each User outside the OWM PT program agrees to decide if, when and how to use the Spreadsheets, and does so at his or her risk.  When using the tools provided on the NIST OWM website, you agree that you are not entitled to rely on any information generated using these worksheets.  You further agree to NIST OWM, and any of their partners in the creation of the tools, harmless for loss you might suffer arising out of any inaccuracies in number generated by the worksheets.  Under no circumstances shall NIST OWM, or any of their partners that helped create the tools, be liable for any damages, including incidental, special or consequential damages, arising from the use of these Spreadsheets or an inability to use them.</t>
  </si>
  <si>
    <t>Verify Version at OWM Link</t>
  </si>
  <si>
    <t>WARNING:
If you distribute these tools through any means other than the NIST Office of Weights and Measures Laboratory Metrology group website at www.nist.gov/labmetrology, you should check that website to ensure the tool being provided is the latest version available, and provide information to users on how to check for updates and revisions to the tools.</t>
  </si>
  <si>
    <t>Item</t>
  </si>
  <si>
    <r>
      <t xml:space="preserve">Instructions and Tips for Using this Workbook 
</t>
    </r>
    <r>
      <rPr>
        <b/>
        <i/>
        <sz val="10"/>
        <rFont val="Arial"/>
        <family val="2"/>
      </rPr>
      <t>Ensure familiarity and use of Standard Operating Procedure for OWM PT Planning, Operating, Analyzing, and Reporting PT Results</t>
    </r>
  </si>
  <si>
    <t>Read the OWM Disclaimer.</t>
  </si>
  <si>
    <t>Check the OWM website for the latest version before completing the PT Plan.</t>
  </si>
  <si>
    <t>Read and follow the instructions in the SOP for NIST OWM PT Planning, Operating, Analyzing, and Reporting PT Results.  The SOP has additional step-by-step instructions to complete this workbook but by following the data entry cells from beginning to end, cell labels, notes, and instructions can guide the use of this planning template for trained and experienced users..</t>
  </si>
  <si>
    <t>All input cells for the Planning sections (P1, P2, P3, P4) are yellow.</t>
  </si>
  <si>
    <t>All input cells for the Operating sections (O1, O2) are green.</t>
  </si>
  <si>
    <t>Drop down lists: Some cells mandate the use of the list options.  Some cells have selections that are typical of most PTs; if the drop down option is not applicable, input the appropriate information.</t>
  </si>
  <si>
    <t>PT Coordinators and the PT Administrative Team members complete this document during planning and operating of the PT; the first step is to "Save As" the name of the PT with "PT-Plan" kept in the file name and date entered at the end as yyyymmdd.  PT Coordinators are authorized to unlock and make essential changes to this PT Plan with OWM staff approvals, provided changes are documented on the Revisions page and do not impact the PT Final Report page content or any calculations.</t>
  </si>
  <si>
    <t xml:space="preserve">The input cells for the R1 Report sections must be reviewed to ensure all participants are listed, rows expanded or reduced to accommodate text, and additional light yellow fields must completed as needed and will turn light blue when information is entered. </t>
  </si>
  <si>
    <t>Print the PT Final Report pages to PDF for compilation with the PT Analysis tables and graphs; OWM Staff must review all analysis for accuracy and completeness and approve and sign the PT final reports and any amendments.</t>
  </si>
  <si>
    <t>If you find errors, have questions or have suggestions on improvements, send an email to NIST Office of Weights and Measures, Laboratory Metrology Group: georgia.harris@nist.gov, timothy.osmer@nist.gov or val.miller@nist.gov.</t>
  </si>
  <si>
    <t>Though not recommended: To add lines of data beyond the planned 150 participants, do the following:</t>
  </si>
  <si>
    <t xml:space="preserve">Failing to follow these instructions exactly will result in significant issues with the summary, data and graph tabs. </t>
  </si>
  <si>
    <t>1:  Unlock all workbook pages making certain that no pages have hidden lines.</t>
  </si>
  <si>
    <t>2: Select (group) all workbook tabs from the PT Summary tab to Data (35).  You want all changes to occur on all workbook tabs!</t>
  </si>
  <si>
    <t>3: 'Select' the entire workbook line containing the last line of data (normally participant 150) by Left Clicking in the leftmost column of the workbook (where the numbers are located) and dragging the cursor down the column until you highlight the number of lines you wish to insert.</t>
  </si>
  <si>
    <t>4: Right click on the highlighted area and select 'Insert'.  The line originally selected will be pushed down the page and lines will be inserted above it.  You must use this Insert process so that all of the calculation cells on the pages will be updated to cover all of the inserted lines.</t>
  </si>
  <si>
    <r>
      <t xml:space="preserve">5: Highlight(select) the last 2 or 3 lines of cells above the lines that were inserted, (Columns A through </t>
    </r>
    <r>
      <rPr>
        <b/>
        <sz val="10"/>
        <color rgb="FFFF0000"/>
        <rFont val="Verdana"/>
        <family val="2"/>
      </rPr>
      <t>CD</t>
    </r>
    <r>
      <rPr>
        <sz val="10"/>
        <rFont val="Verdana"/>
        <family val="2"/>
      </rPr>
      <t>) then 'grab' the green dot in the lower right corner of the selection box and drag it down to copy the content of those cells to all of the newly inserted lines, including the last line that was pushed down the page.  This will copy the column contents down the page so that all of the calculation cells are populated with the correct formulas.  If you select only the last row of cells and copy those down, the column with the Pn and En limit of 1 will begin to increase by 1 for each line copied.  Selecting more than 1 line locks the value so that it does not increase.</t>
    </r>
  </si>
  <si>
    <t>6:  Verify that the equations in Data (x)! Cells C12 to C15, C17, C18, C20 to C23, C25, C26 AV11 and AW11 have updated to cover the newly defined data ranges.  These cells all have cell ranges specified that must include the newly inserted lines and are good indicators that all other cells that analyze the full range of data will have been updated properly.</t>
  </si>
  <si>
    <t>If done correctly, data entered in the last data line of the Data Entry Tab will appear in the last participant line of the Data (x) tabs, the graphs will display those values, and the Summary tab will show the results in the same correct line.  Note that the line numbers of all data tab participant numbers align.</t>
  </si>
  <si>
    <t>IT IS STRONGLY RECOMMENDED THAT ADDITIONAL DATA TABS, CHARTS AND GRAPHS NOT BE ADDED AS THAT PROCESS IS MUCH MORE INVOLVED AND FRAUGHT WITH PROBLEMS.  IF MORE DATA TABS ARE NEEDED USE OF A SECOND WORKBOOK FOR THOSE EXCESS ITEMS, BEYOND 35 ARTIFACTS, IS RECOMMENDED.</t>
  </si>
  <si>
    <t>is the specific procedure to be used with this PT Plan Template and the PT Analysis Template.</t>
  </si>
  <si>
    <t>NIST OWM PT Process Outline (See SOP for specific details in each phase).</t>
  </si>
  <si>
    <t>PDCA</t>
  </si>
  <si>
    <t>NCSLI RP-15</t>
  </si>
  <si>
    <t>Phase and Action: What (do we do)</t>
  </si>
  <si>
    <t>How (do we do it)</t>
  </si>
  <si>
    <t>Who (does it)</t>
  </si>
  <si>
    <t>When (do we do it)</t>
  </si>
  <si>
    <t>Where (do we do it)</t>
  </si>
  <si>
    <t>Plan</t>
  </si>
  <si>
    <t>Need</t>
  </si>
  <si>
    <t>Planning 
(PT Plan Template)</t>
  </si>
  <si>
    <t>Identify the PT
Recruit PT Administrative Team
Identify Participants
Define Objectives
Define Details
Addresses &amp; Lab Contacts</t>
  </si>
  <si>
    <t>Regional Coordinator
RMAP Participants
PT Coordinator
NIST OWM (evaluates and approves participants and plan</t>
  </si>
  <si>
    <t>During the RMAP (PT day)</t>
  </si>
  <si>
    <r>
      <t xml:space="preserve">PT Workbook Sections:
</t>
    </r>
    <r>
      <rPr>
        <b/>
        <sz val="11"/>
        <rFont val="Calibri"/>
        <family val="2"/>
        <scheme val="minor"/>
      </rPr>
      <t>P1:</t>
    </r>
    <r>
      <rPr>
        <sz val="11"/>
        <rFont val="Calibri"/>
        <family val="2"/>
        <scheme val="minor"/>
      </rPr>
      <t xml:space="preserve"> Organize the PT
</t>
    </r>
    <r>
      <rPr>
        <b/>
        <sz val="11"/>
        <rFont val="Calibri"/>
        <family val="2"/>
        <scheme val="minor"/>
      </rPr>
      <t>P2:</t>
    </r>
    <r>
      <rPr>
        <sz val="11"/>
        <rFont val="Calibri"/>
        <family val="2"/>
        <scheme val="minor"/>
      </rPr>
      <t xml:space="preserve"> Objectives &amp; Details
</t>
    </r>
    <r>
      <rPr>
        <b/>
        <sz val="11"/>
        <rFont val="Calibri"/>
        <family val="2"/>
        <scheme val="minor"/>
      </rPr>
      <t>P3:</t>
    </r>
    <r>
      <rPr>
        <sz val="11"/>
        <rFont val="Calibri"/>
        <family val="2"/>
        <scheme val="minor"/>
      </rPr>
      <t xml:space="preserve"> Artifact &amp; Shipping
</t>
    </r>
    <r>
      <rPr>
        <b/>
        <sz val="11"/>
        <rFont val="Calibri"/>
        <family val="2"/>
        <scheme val="minor"/>
      </rPr>
      <t>P4:</t>
    </r>
    <r>
      <rPr>
        <sz val="11"/>
        <rFont val="Calibri"/>
        <family val="2"/>
        <scheme val="minor"/>
      </rPr>
      <t xml:space="preserve"> Addresses &amp; Contacts
</t>
    </r>
  </si>
  <si>
    <t>Organize</t>
  </si>
  <si>
    <t>Selecting PT Items 
Provide Handling and Equilibration Instructions
Packaging Instructions
Shipping Instructions
Create high level and detailed schedule</t>
  </si>
  <si>
    <t>Plan: PT Coordinator
Approvals: NIST OWM</t>
  </si>
  <si>
    <t>As quickly as practicable</t>
  </si>
  <si>
    <r>
      <t xml:space="preserve">PT Workbook Sections:
</t>
    </r>
    <r>
      <rPr>
        <b/>
        <sz val="11"/>
        <rFont val="Calibri"/>
        <family val="2"/>
        <scheme val="minor"/>
      </rPr>
      <t>P1:</t>
    </r>
    <r>
      <rPr>
        <sz val="11"/>
        <rFont val="Calibri"/>
        <family val="2"/>
        <scheme val="minor"/>
      </rPr>
      <t xml:space="preserve"> Organize the PT
</t>
    </r>
    <r>
      <rPr>
        <b/>
        <sz val="11"/>
        <rFont val="Calibri"/>
        <family val="2"/>
        <scheme val="minor"/>
      </rPr>
      <t>P3:</t>
    </r>
    <r>
      <rPr>
        <sz val="11"/>
        <rFont val="Calibri"/>
        <family val="2"/>
        <scheme val="minor"/>
      </rPr>
      <t xml:space="preserve"> Artifact &amp; Shipping
</t>
    </r>
  </si>
  <si>
    <t>Do</t>
  </si>
  <si>
    <t>Execute</t>
  </si>
  <si>
    <t>Operating
(PT Plan Template)</t>
  </si>
  <si>
    <t>Coordinator and Participants Follow the Instructions
Send Receipt Form 
KEEP IT MOVING; notify subsequent labs of delays
Resolve and Record Issues</t>
  </si>
  <si>
    <t>Participants: Follow Instructions and Send Receipt Form
Coordinator: Monitor and Guide the PT
Regional Coord.: Support Coordinators
NIST OWM: Support</t>
  </si>
  <si>
    <t>As quickly as practicable
(Don't use all the time before your next RMAP, there might be plans to send the artifact to another region, or another lab)</t>
  </si>
  <si>
    <r>
      <t xml:space="preserve">PT Workbook Sections:
Between P4 and O1: Receipt Form
</t>
    </r>
    <r>
      <rPr>
        <b/>
        <sz val="11"/>
        <rFont val="Calibri"/>
        <family val="2"/>
        <scheme val="minor"/>
      </rPr>
      <t>O1:</t>
    </r>
    <r>
      <rPr>
        <sz val="11"/>
        <rFont val="Calibri"/>
        <family val="2"/>
        <scheme val="minor"/>
      </rPr>
      <t xml:space="preserve"> Coordinator Tracking
</t>
    </r>
    <r>
      <rPr>
        <b/>
        <sz val="11"/>
        <rFont val="Calibri"/>
        <family val="2"/>
        <scheme val="minor"/>
      </rPr>
      <t>O2:</t>
    </r>
    <r>
      <rPr>
        <sz val="11"/>
        <rFont val="Calibri"/>
        <family val="2"/>
        <scheme val="minor"/>
      </rPr>
      <t xml:space="preserve"> Coordinator Feedback
</t>
    </r>
  </si>
  <si>
    <t>Check</t>
  </si>
  <si>
    <t>Analyze and Report</t>
  </si>
  <si>
    <t>Analyzing
(PT Analysis Templates)</t>
  </si>
  <si>
    <t>Initial Analysis
Draft Analysis
Final Analysis</t>
  </si>
  <si>
    <t>Initial &amp; Drafts: Analyst
Final: NIST OWM</t>
  </si>
  <si>
    <t>Initial Analysis: As labs submit data
Draft: Due 2 month Prior to RMAP
Final: Due 1 month Prior  to RMAP 
(These are minimum timelines)</t>
  </si>
  <si>
    <t>PT Analysis Excel Template - includes PT data entry, data summary, data table for each item with Pass/Fail criteria, and associated graphs (printed to PDF)
PT Analysis YOUDEN Template (includes Youden analysis tables and graphs)</t>
  </si>
  <si>
    <t>Reporting
(PT Plan Template AND PT Analysis Templates)</t>
  </si>
  <si>
    <t xml:space="preserve">
Draft Report
Final Report
Distribution</t>
  </si>
  <si>
    <t>Draft: Analyst and Coordinator
Final &amp; Distribution: NIST OWM</t>
  </si>
  <si>
    <t>Draft: Due 2 month Prior to RMAP
Final: Due 1 month Prior  to RMAP 
Distribute: RMAP
(These are minimum timelines)</t>
  </si>
  <si>
    <r>
      <rPr>
        <b/>
        <sz val="11"/>
        <rFont val="Calibri"/>
        <family val="2"/>
        <scheme val="minor"/>
      </rPr>
      <t xml:space="preserve">R1. </t>
    </r>
    <r>
      <rPr>
        <sz val="11"/>
        <rFont val="Calibri"/>
        <family val="2"/>
        <scheme val="minor"/>
      </rPr>
      <t>PT Plan Excel Template - includes PT Report Cover pages</t>
    </r>
  </si>
  <si>
    <t>Act</t>
  </si>
  <si>
    <t>Action</t>
  </si>
  <si>
    <t>Acting: Following Up</t>
  </si>
  <si>
    <t>GLP for PT Follow-Up and Form (with NISTIR 7214)</t>
  </si>
  <si>
    <t>Participants</t>
  </si>
  <si>
    <t>After coordinator feedback.
After receiving final report.</t>
  </si>
  <si>
    <t>Follow-Up Forms</t>
  </si>
  <si>
    <t>The PT Plan Template and PT Analysis Template are available at nist.gov/labmetrology on pages for "Proficiency Testing".</t>
  </si>
  <si>
    <t>PT Plan Template</t>
  </si>
  <si>
    <t>SECTION P1: Organize the PT</t>
  </si>
  <si>
    <t>PT Title:</t>
  </si>
  <si>
    <t>Scope of the PT</t>
  </si>
  <si>
    <t>Region:</t>
  </si>
  <si>
    <t>Reporting Year:</t>
  </si>
  <si>
    <t>Parameter:</t>
  </si>
  <si>
    <t>Unit System:</t>
  </si>
  <si>
    <t>PT Sequence Number:</t>
  </si>
  <si>
    <t>Range or Nominal:</t>
  </si>
  <si>
    <t>PT Administrative Team</t>
  </si>
  <si>
    <t>Name</t>
  </si>
  <si>
    <t>Laboratory</t>
  </si>
  <si>
    <t>Email</t>
  </si>
  <si>
    <t>Phone</t>
  </si>
  <si>
    <t>PT Coordinator:</t>
  </si>
  <si>
    <t>PT Analyst:</t>
  </si>
  <si>
    <t>Regional Coordinator:</t>
  </si>
  <si>
    <t>NIST Point of Contact:</t>
  </si>
  <si>
    <t>Pivot Lab (if applicable):</t>
  </si>
  <si>
    <t>High-Level Schedule Overview (Critical Timelines)</t>
  </si>
  <si>
    <t>Dates</t>
  </si>
  <si>
    <t>Artifact is available until this date:</t>
  </si>
  <si>
    <t>Draft Analysis and Report Due to NIST:</t>
  </si>
  <si>
    <t>NIST Distribution of Final Report:</t>
  </si>
  <si>
    <t>Time in calendar days allotted per lab:</t>
  </si>
  <si>
    <t xml:space="preserve">Circulation Plan and ALL Participants </t>
  </si>
  <si>
    <t>#</t>
  </si>
  <si>
    <t>Vital (Hard Scheduled)</t>
  </si>
  <si>
    <t>Scheduled Receive Date</t>
  </si>
  <si>
    <t>Laboratory/Organization</t>
  </si>
  <si>
    <t>Participant Name*</t>
  </si>
  <si>
    <t>Training</t>
  </si>
  <si>
    <t>LAP Problems</t>
  </si>
  <si>
    <t>Oversight By</t>
  </si>
  <si>
    <t>Do NOT delete this cell, used for formatting!</t>
  </si>
  <si>
    <t>Region</t>
  </si>
  <si>
    <t>Year</t>
  </si>
  <si>
    <t>Parameter</t>
  </si>
  <si>
    <t>Range</t>
  </si>
  <si>
    <t>Unit System</t>
  </si>
  <si>
    <t>Seq. #</t>
  </si>
  <si>
    <t>Vital</t>
  </si>
  <si>
    <t>CaMAP</t>
  </si>
  <si>
    <t>Mass Echelon I</t>
  </si>
  <si>
    <t>US Customary</t>
  </si>
  <si>
    <t>01</t>
  </si>
  <si>
    <t>Yes</t>
  </si>
  <si>
    <t>MidMAP</t>
  </si>
  <si>
    <t>Mass Echelon II</t>
  </si>
  <si>
    <t>Metric</t>
  </si>
  <si>
    <t>02</t>
  </si>
  <si>
    <t>NEMAP</t>
  </si>
  <si>
    <t>Mass Echelon III</t>
  </si>
  <si>
    <t>Brad Bachelder</t>
  </si>
  <si>
    <t xml:space="preserve">bradford.bachelder@maine.gov </t>
  </si>
  <si>
    <t>207-287-7587</t>
  </si>
  <si>
    <t>03</t>
  </si>
  <si>
    <t>SEMAP</t>
  </si>
  <si>
    <t>Volume Echelon I, VG</t>
  </si>
  <si>
    <t>04</t>
  </si>
  <si>
    <t>SWAP</t>
  </si>
  <si>
    <t>Volume Echelon II, VT</t>
  </si>
  <si>
    <t>Clay Ivey</t>
  </si>
  <si>
    <t>05</t>
  </si>
  <si>
    <t>WRAP</t>
  </si>
  <si>
    <t>Length, Tape</t>
  </si>
  <si>
    <t>Michael Tang</t>
  </si>
  <si>
    <t>808-832-0682</t>
  </si>
  <si>
    <t>National</t>
  </si>
  <si>
    <t>Length, Ruler</t>
  </si>
  <si>
    <t>Megan Money</t>
  </si>
  <si>
    <t>Megan.Money@FDACS.gov</t>
  </si>
  <si>
    <t>850-921-1572</t>
  </si>
  <si>
    <t>Temperature Class I</t>
  </si>
  <si>
    <t>Anna Pierce</t>
  </si>
  <si>
    <t>Minnesota</t>
  </si>
  <si>
    <t>anna.pierce@state.mn.us</t>
  </si>
  <si>
    <t>651-539-1562</t>
  </si>
  <si>
    <t>Temperature Class II</t>
  </si>
  <si>
    <t>Jonathan Fox</t>
  </si>
  <si>
    <t>Jonathan.Fox@agriculture.ny.gov</t>
  </si>
  <si>
    <t>518-457-3146</t>
  </si>
  <si>
    <t>Temperature Class III</t>
  </si>
  <si>
    <t>Temperature Class IV</t>
  </si>
  <si>
    <t>Frequency</t>
  </si>
  <si>
    <t>Time</t>
  </si>
  <si>
    <t>Grain Moisture</t>
  </si>
  <si>
    <t>OWM</t>
  </si>
  <si>
    <t>Wheel Load Weigher</t>
  </si>
  <si>
    <t>Micheal Hicks</t>
  </si>
  <si>
    <t>micheal.hicks@nist.gov</t>
  </si>
  <si>
    <t>301-975-4615</t>
  </si>
  <si>
    <t>Elizabeth Koncki</t>
  </si>
  <si>
    <t>elizabeth.koncki@nist.gov</t>
  </si>
  <si>
    <t>301-975-4859</t>
  </si>
  <si>
    <t>SECTION P2: Objectives and Details</t>
  </si>
  <si>
    <t>ILC Title:</t>
  </si>
  <si>
    <t>Coordinator:</t>
  </si>
  <si>
    <r>
      <rPr>
        <b/>
        <sz val="11"/>
        <color theme="1"/>
        <rFont val="Calibri"/>
        <family val="2"/>
        <scheme val="minor"/>
      </rPr>
      <t>Unique Considerations</t>
    </r>
    <r>
      <rPr>
        <sz val="11"/>
        <color theme="1"/>
        <rFont val="Calibri"/>
        <family val="2"/>
        <scheme val="minor"/>
      </rPr>
      <t xml:space="preserve">
(comments, discussion)</t>
    </r>
  </si>
  <si>
    <t xml:space="preserve">Artifacts require equilibration per laboratory policy for artifacts of this classification. Standards shall not be cleaned or adjusted (unless otherwise specified in this PT Plan). (Additional notes here or delete this sentence). </t>
  </si>
  <si>
    <t>PT Objectives</t>
  </si>
  <si>
    <t>x</t>
  </si>
  <si>
    <t>Demonstration of Competency for Accreditation or Recognition</t>
  </si>
  <si>
    <t>Validation of Expanded Uncertainties</t>
  </si>
  <si>
    <t>Evaluation of Calibration Certificates</t>
  </si>
  <si>
    <t>Method Validation (New Methods/Procedures ONLY)</t>
  </si>
  <si>
    <t>Laboratory Auditing Program (LAP) problems (For new employees/participants)</t>
  </si>
  <si>
    <t>Demonstration of Effective Corrective Action from previously failed PTs</t>
  </si>
  <si>
    <t>Conformance or Suitability Evaluation of Artifact</t>
  </si>
  <si>
    <t>Identifying Artifact Characteristics (stability, material, density, etc.)</t>
  </si>
  <si>
    <t>Customer Service &amp; Contract Review (e.g. timeliness, follow instructions)</t>
  </si>
  <si>
    <t>Other:</t>
  </si>
  <si>
    <t>PT Performance Evaluations</t>
  </si>
  <si>
    <t>Select the check boxe(s) that will apply during the PT Analysis! (The OWM PT Analysis Template will be used to perform analyses, select reference values, ensure metrological traceability of results, and evaluate PT performance.)</t>
  </si>
  <si>
    <t>Difference from the Reference Value (Bias)</t>
  </si>
  <si>
    <t>Z Score</t>
  </si>
  <si>
    <t>2 Standard Deviations (used when identifying outliers or selecting reference values)</t>
  </si>
  <si>
    <t>SOP 1 Calibration Certificate Review Checklist (qualitative review vs ISO/IEC 17025)</t>
  </si>
  <si>
    <t>SP 811 Check List for Reviewing Manuscripts (qualitative review)</t>
  </si>
  <si>
    <t xml:space="preserve">PT Design and Pivot Lab </t>
  </si>
  <si>
    <t>Select ONE!  If no box checked 'Other" box must have entry.</t>
  </si>
  <si>
    <t>Circular</t>
  </si>
  <si>
    <t>Petal (Pivot laboratory must be designated and approved by OWM)</t>
  </si>
  <si>
    <t>Modified Petal (pivot laboratory must be designated and approved by OWM)</t>
  </si>
  <si>
    <t>Other Design (specify below)</t>
  </si>
  <si>
    <t xml:space="preserve">Designate Pivot Laboratory Intended Purpose, and if applicable Other Design: </t>
  </si>
  <si>
    <t xml:space="preserve">See also P1 cell C22 with explanation of purpose here. </t>
  </si>
  <si>
    <t>Additional Planning Details</t>
  </si>
  <si>
    <t>Calibration Procedure to be used:</t>
  </si>
  <si>
    <t>Environmental Conditions during storage, handling or calibrations:</t>
  </si>
  <si>
    <t>As outlined in the designated calibration procedure(s) which are followed to ensure PT standard(s) artifacts are not compromised. Conditions to be specified on calibration certificate (ranges acceptable).</t>
  </si>
  <si>
    <t>Equilibration requirements:</t>
  </si>
  <si>
    <t>As outlined in the designated calibration procedure and as routinely managed for similar types of calibrations (unless additional requirements specified here). Equilibration conditions to be included on calibration certificate if supplemental to the calibration procedure.</t>
  </si>
  <si>
    <t>Required Equipment:</t>
  </si>
  <si>
    <t>Participants will use equipment that they typically use for this measurement parameter ensuring that accuracy and repeatability requirements of the procedure and this PT are met.</t>
  </si>
  <si>
    <t>Measurand and/or Characteristics of Interest to be Reported:</t>
  </si>
  <si>
    <t>Units to be Reported:</t>
  </si>
  <si>
    <t>Number of Significant Figures:</t>
  </si>
  <si>
    <t>(unless otherwise noted in the instructions)</t>
  </si>
  <si>
    <t>Is there a Supplemental Data Sheet?:</t>
  </si>
  <si>
    <t>No</t>
  </si>
  <si>
    <r>
      <t xml:space="preserve">Tolerance Source and Class 
</t>
    </r>
    <r>
      <rPr>
        <sz val="9"/>
        <color theme="1"/>
        <rFont val="Calibri"/>
        <family val="2"/>
        <scheme val="minor"/>
      </rPr>
      <t>(Update the list if documentary standard or class is not listed)</t>
    </r>
    <r>
      <rPr>
        <sz val="11"/>
        <color theme="1"/>
        <rFont val="Calibri"/>
        <family val="2"/>
        <scheme val="minor"/>
      </rPr>
      <t>:</t>
    </r>
  </si>
  <si>
    <r>
      <t>The Percentage or Fraction of Tolerance used for Assessing P</t>
    </r>
    <r>
      <rPr>
        <vertAlign val="subscript"/>
        <sz val="11"/>
        <color theme="1"/>
        <rFont val="Calibri"/>
        <family val="2"/>
        <scheme val="minor"/>
      </rPr>
      <t>n</t>
    </r>
    <r>
      <rPr>
        <sz val="11"/>
        <color theme="1"/>
        <rFont val="Calibri"/>
        <family val="2"/>
        <scheme val="minor"/>
      </rPr>
      <t>:</t>
    </r>
  </si>
  <si>
    <t>Expected Uncertainties from participants:</t>
  </si>
  <si>
    <t>Uncertainties must represent the actual uncertainties used by the laboratory.  The expected value must be small enough to pass the Pn statistical test and includes all critical components identified in the NIST SOPs.</t>
  </si>
  <si>
    <t>Expected Range of Values from the Participants:</t>
  </si>
  <si>
    <t>Expected Limits of Stability:</t>
  </si>
  <si>
    <t>When there is no significant observed shift or drift, and the first and last measurements are not outliers, the comparison should result in an En value of less than 1.</t>
  </si>
  <si>
    <t>µg</t>
  </si>
  <si>
    <t>microgram</t>
  </si>
  <si>
    <t>mg</t>
  </si>
  <si>
    <t>milligram</t>
  </si>
  <si>
    <t>The expected range of values from participants is less than the tolerance.</t>
  </si>
  <si>
    <t>1/3</t>
  </si>
  <si>
    <t>g</t>
  </si>
  <si>
    <t>gram</t>
  </si>
  <si>
    <t>100 %</t>
  </si>
  <si>
    <t>kg</t>
  </si>
  <si>
    <t>kilogram</t>
  </si>
  <si>
    <t>µlb</t>
  </si>
  <si>
    <t>micropound</t>
  </si>
  <si>
    <t>lb</t>
  </si>
  <si>
    <t>pound</t>
  </si>
  <si>
    <t>in</t>
  </si>
  <si>
    <t>inch</t>
  </si>
  <si>
    <t>in²</t>
  </si>
  <si>
    <t>square inch</t>
  </si>
  <si>
    <t>OIML R 111-1: Weights of classes E1, E2, F1, F2, M1, M1–2, M2, M2–3 and M3, Part 1: Metrological and Technical Requirements – 2004  Class E1</t>
  </si>
  <si>
    <t>in³</t>
  </si>
  <si>
    <t>cubic inch</t>
  </si>
  <si>
    <t>OIML R 111-1: Weights of classes E1, E2, F1, F2, M1, M1–2, M2, M2–3 and M3, Part 1: Metrological and Technical Requirements – 2004  Class E2</t>
  </si>
  <si>
    <t>pt</t>
  </si>
  <si>
    <t>pint</t>
  </si>
  <si>
    <t>OIML R 111-1: Weights of classes E1, E2, F1, F2, M1, M1–2, M2, M2–3 and M3, Part 1: Metrological and Technical Requirements – 2004  Class F1</t>
  </si>
  <si>
    <t>qt</t>
  </si>
  <si>
    <t>quart</t>
  </si>
  <si>
    <t>OIML R 111-1: Weights of classes E1, E2, F1, F2, M1, M1–2, M2, M2–3 and M3, Part 1: Metrological and Technical Requirements – 2004  Class F2</t>
  </si>
  <si>
    <t>gal</t>
  </si>
  <si>
    <t>gallon</t>
  </si>
  <si>
    <t>OIML R 111-1: Weights of classes E1, E2, F1, F2, M1, M1–2, M2, M2–3 and M3, Part 1: Metrological and Technical Requirements – 2004  Class M1</t>
  </si>
  <si>
    <t>mL</t>
  </si>
  <si>
    <t>milliliter</t>
  </si>
  <si>
    <t>OIML R 111-1: Weights of classes E1, E2, F1, F2, M1, M1–2, M2, M2–3 and M3, Part 1: Metrological and Technical Requirements – 2004  Class M1-2</t>
  </si>
  <si>
    <t>L</t>
  </si>
  <si>
    <t>liter</t>
  </si>
  <si>
    <t>OIML R 111-1: Weights of classes E1, E2, F1, F2, M1, M1–2, M2, M2–3 and M3, Part 1: Metrological and Technical Requirements – 2004  Class M2</t>
  </si>
  <si>
    <t>nm</t>
  </si>
  <si>
    <t>nanometer</t>
  </si>
  <si>
    <t>OIML R 111-1: Weights of classes E1, E2, F1, F2, M1, M1–2, M2, M2–3 and M3, Part 1: Metrological and Technical Requirements – 2004  Class M2-3</t>
  </si>
  <si>
    <t>mm</t>
  </si>
  <si>
    <t>millimeter</t>
  </si>
  <si>
    <t>OIML R 111-1: Weights of classes E1, E2, F1, F2, M1, M1–2, M2, M2–3 and M3, Part 1: Metrological and Technical Requirements – 2004  Class M3</t>
  </si>
  <si>
    <t>cm</t>
  </si>
  <si>
    <t>centimeter</t>
  </si>
  <si>
    <t>cm²</t>
  </si>
  <si>
    <t>square centimeter</t>
  </si>
  <si>
    <t>cm³</t>
  </si>
  <si>
    <t>cubic centimeter</t>
  </si>
  <si>
    <t>m</t>
  </si>
  <si>
    <t>meter</t>
  </si>
  <si>
    <t>m²</t>
  </si>
  <si>
    <t>square meter</t>
  </si>
  <si>
    <t>m³</t>
  </si>
  <si>
    <t>cubic meter</t>
  </si>
  <si>
    <t>°F</t>
  </si>
  <si>
    <t>degrees Fahrenheit</t>
  </si>
  <si>
    <t>°C</t>
  </si>
  <si>
    <t>K</t>
  </si>
  <si>
    <t>Kelvin</t>
  </si>
  <si>
    <t>fl dr</t>
  </si>
  <si>
    <t>fluid drams</t>
  </si>
  <si>
    <t>ASTM E288: Single Mark Laboratory Glassware</t>
  </si>
  <si>
    <t>fl oz</t>
  </si>
  <si>
    <t>Fluid ounce(s)</t>
  </si>
  <si>
    <t>ASMT E74 or Handbook 44: Wheelload Weighers</t>
  </si>
  <si>
    <t>ft</t>
  </si>
  <si>
    <t>foot</t>
  </si>
  <si>
    <t>Pa</t>
  </si>
  <si>
    <t>Pascal</t>
  </si>
  <si>
    <t>kPa</t>
  </si>
  <si>
    <t>Kilopascal</t>
  </si>
  <si>
    <t>s</t>
  </si>
  <si>
    <t>second</t>
  </si>
  <si>
    <t>min</t>
  </si>
  <si>
    <t>minute</t>
  </si>
  <si>
    <t>h</t>
  </si>
  <si>
    <t>hour</t>
  </si>
  <si>
    <t>A</t>
  </si>
  <si>
    <t>Ampere</t>
  </si>
  <si>
    <t>C</t>
  </si>
  <si>
    <t>coulomb</t>
  </si>
  <si>
    <t>V</t>
  </si>
  <si>
    <t>volt</t>
  </si>
  <si>
    <t>J</t>
  </si>
  <si>
    <t>joule</t>
  </si>
  <si>
    <t>W</t>
  </si>
  <si>
    <t>watt</t>
  </si>
  <si>
    <t>Hz</t>
  </si>
  <si>
    <t>hertz</t>
  </si>
  <si>
    <t>H</t>
  </si>
  <si>
    <t>F</t>
  </si>
  <si>
    <t>farad</t>
  </si>
  <si>
    <t>Ω</t>
  </si>
  <si>
    <t>ohm</t>
  </si>
  <si>
    <t>S</t>
  </si>
  <si>
    <t>Wb</t>
  </si>
  <si>
    <t>T</t>
  </si>
  <si>
    <t>tesla</t>
  </si>
  <si>
    <t>A/m</t>
  </si>
  <si>
    <t>cd</t>
  </si>
  <si>
    <t>candela</t>
  </si>
  <si>
    <t>lm</t>
  </si>
  <si>
    <t>lumen</t>
  </si>
  <si>
    <t>lx</t>
  </si>
  <si>
    <t>lux</t>
  </si>
  <si>
    <t>cd/m²</t>
  </si>
  <si>
    <t>candela per square meter</t>
  </si>
  <si>
    <t>rad</t>
  </si>
  <si>
    <t>radian</t>
  </si>
  <si>
    <t>kg/m³</t>
  </si>
  <si>
    <t>kilogram per cubic meter</t>
  </si>
  <si>
    <t>g/cm³</t>
  </si>
  <si>
    <t>grams per cubic centimeter</t>
  </si>
  <si>
    <t>kg/L</t>
  </si>
  <si>
    <t>kilograms per liter</t>
  </si>
  <si>
    <t>m/s</t>
  </si>
  <si>
    <t>meters per second</t>
  </si>
  <si>
    <t>km/h</t>
  </si>
  <si>
    <t>kilometers per hour</t>
  </si>
  <si>
    <t>m/s²</t>
  </si>
  <si>
    <t>meter per second squared</t>
  </si>
  <si>
    <t>m²/s</t>
  </si>
  <si>
    <t>meter squared per second</t>
  </si>
  <si>
    <t>Pa·s</t>
  </si>
  <si>
    <t>Pascal second</t>
  </si>
  <si>
    <t>ns</t>
  </si>
  <si>
    <t>nanosecond</t>
  </si>
  <si>
    <t>N·m</t>
  </si>
  <si>
    <t>mN·m</t>
  </si>
  <si>
    <t>millinewton meter</t>
  </si>
  <si>
    <t>N</t>
  </si>
  <si>
    <t>ft³/min</t>
  </si>
  <si>
    <t>cubic feet per minute</t>
  </si>
  <si>
    <t>in³/min</t>
  </si>
  <si>
    <t>cubic inches per minute</t>
  </si>
  <si>
    <t>mol</t>
  </si>
  <si>
    <t>mole</t>
  </si>
  <si>
    <t>SECTION P3: Artifacts &amp; Shipping</t>
  </si>
  <si>
    <r>
      <t>FEDEX Express
(</t>
    </r>
    <r>
      <rPr>
        <sz val="10"/>
        <color theme="1"/>
        <rFont val="Calibri"/>
        <family val="2"/>
        <scheme val="minor"/>
      </rPr>
      <t>Customer Service</t>
    </r>
    <r>
      <rPr>
        <sz val="11"/>
        <color theme="1"/>
        <rFont val="Calibri"/>
        <family val="2"/>
        <scheme val="minor"/>
      </rPr>
      <t xml:space="preserve"> </t>
    </r>
    <r>
      <rPr>
        <sz val="10"/>
        <color theme="1"/>
        <rFont val="Calibri"/>
        <family val="2"/>
        <scheme val="minor"/>
      </rPr>
      <t>#</t>
    </r>
    <r>
      <rPr>
        <sz val="11"/>
        <color theme="1"/>
        <rFont val="Calibri"/>
        <family val="2"/>
        <scheme val="minor"/>
      </rPr>
      <t>: 
800-463-3339)</t>
    </r>
  </si>
  <si>
    <t>2 Day (2nd Business Day)</t>
  </si>
  <si>
    <t>3rd Party</t>
  </si>
  <si>
    <r>
      <t>NIST Div 680.02, (</t>
    </r>
    <r>
      <rPr>
        <i/>
        <sz val="11"/>
        <color theme="1"/>
        <rFont val="Calibri"/>
        <family val="2"/>
        <scheme val="minor"/>
      </rPr>
      <t>your RMAP group</t>
    </r>
    <r>
      <rPr>
        <sz val="11"/>
        <color theme="1"/>
        <rFont val="Calibri"/>
        <family val="2"/>
        <scheme val="minor"/>
      </rPr>
      <t>)</t>
    </r>
  </si>
  <si>
    <t>Owner</t>
  </si>
  <si>
    <t>Laboratory:</t>
  </si>
  <si>
    <t>Contact:</t>
  </si>
  <si>
    <t>Email:</t>
  </si>
  <si>
    <t>Phone:</t>
  </si>
  <si>
    <t>City:</t>
  </si>
  <si>
    <t>State:</t>
  </si>
  <si>
    <t>Zip Code:</t>
  </si>
  <si>
    <t>Manufacturer:</t>
  </si>
  <si>
    <t>Serial Number:</t>
  </si>
  <si>
    <t>Description:</t>
  </si>
  <si>
    <t>Number of Pieces:</t>
  </si>
  <si>
    <t>Model / Design:</t>
  </si>
  <si>
    <t>Tolerance Classification:</t>
  </si>
  <si>
    <t>Material:</t>
  </si>
  <si>
    <t>Density:</t>
  </si>
  <si>
    <t>Coefficient of Expansion (specify linear or cubical):</t>
  </si>
  <si>
    <t>Neck Graduation Size:</t>
  </si>
  <si>
    <t>Handling Instructions</t>
  </si>
  <si>
    <t>Instructions:</t>
  </si>
  <si>
    <t>Packing</t>
  </si>
  <si>
    <t>Where To Next? Ask the coordinator, get confirmation from the next lab, (check the schedule).</t>
  </si>
  <si>
    <t>Carrier:</t>
  </si>
  <si>
    <t>FEDEX Express
(Customer Service #: 
800-463-3339)</t>
  </si>
  <si>
    <t>Method:</t>
  </si>
  <si>
    <t>Billing*:</t>
  </si>
  <si>
    <t>Account Number:</t>
  </si>
  <si>
    <t>Internal Billing Reference:</t>
  </si>
  <si>
    <t>NIST Div 680.02, (your RMAP group)</t>
  </si>
  <si>
    <t>Insurance:</t>
  </si>
  <si>
    <t>(see below)</t>
  </si>
  <si>
    <t>Ship Weight (lb):</t>
  </si>
  <si>
    <t>Comments:</t>
  </si>
  <si>
    <t>Do NOT use Ground Shipping without OWM permission.</t>
  </si>
  <si>
    <t xml:space="preserve">*Non-State labs must pay shipping costs from their lab to the next lab.  </t>
  </si>
  <si>
    <t>Ship Weight (lb)</t>
  </si>
  <si>
    <t>SECTION P4: Addresses, Contacts, Shipping/Routing</t>
  </si>
  <si>
    <t>NIST will supply a regional list at each RMAP, based on the NIST database.</t>
  </si>
  <si>
    <t>Participant Name</t>
  </si>
  <si>
    <t>MUST SHIP ON THIS DATE</t>
  </si>
  <si>
    <t>City</t>
  </si>
  <si>
    <t>State</t>
  </si>
  <si>
    <t>Zip Code</t>
  </si>
  <si>
    <t>AL</t>
  </si>
  <si>
    <t>AK</t>
  </si>
  <si>
    <t>AZ</t>
  </si>
  <si>
    <t>AR</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</si>
  <si>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</si>
  <si>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</si>
  <si>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</si>
  <si>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</si>
  <si>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</si>
  <si>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</si>
  <si>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</si>
  <si>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</si>
  <si>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</si>
  <si>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</si>
  <si>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</si>
  <si>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</si>
  <si>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</si>
  <si>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</si>
  <si>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</si>
  <si>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</si>
  <si>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</si>
  <si>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</si>
  <si>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</si>
  <si>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</si>
  <si>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</si>
  <si>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</si>
  <si>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</si>
  <si>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</si>
  <si>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</si>
  <si>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</si>
  <si>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</si>
  <si>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</si>
  <si>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</si>
  <si>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</si>
  <si>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</si>
  <si>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</si>
  <si>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</si>
  <si>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</si>
  <si>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</si>
  <si>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</si>
  <si>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</si>
  <si>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</si>
  <si>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</si>
  <si>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</si>
  <si>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</si>
  <si>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</si>
  <si>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</si>
  <si>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</si>
  <si>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</si>
  <si>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</si>
  <si>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GU</t>
  </si>
  <si>
    <t>PR</t>
  </si>
  <si>
    <t>VI</t>
  </si>
  <si>
    <t>Date:</t>
  </si>
  <si>
    <t>Date of arrival of the PT items/standards:</t>
  </si>
  <si>
    <t>From:</t>
  </si>
  <si>
    <t>Other remarks (anticipated completion of calibrations is helpful to the PT coordinator):</t>
  </si>
  <si>
    <t>Name of the contact person:</t>
  </si>
  <si>
    <t>E-mail:</t>
  </si>
  <si>
    <t>SECTION O1: Coordinator Tracking</t>
  </si>
  <si>
    <t>*</t>
  </si>
  <si>
    <t>Today's Date:</t>
  </si>
  <si>
    <t>Coordinator Tracking</t>
  </si>
  <si>
    <t>Vital
(Hard Scheduled)</t>
  </si>
  <si>
    <t>Official
Lab
Values</t>
  </si>
  <si>
    <t>Date
Received</t>
  </si>
  <si>
    <t>Measurements
Completed</t>
  </si>
  <si>
    <t>Calibration
Certificate
Received</t>
  </si>
  <si>
    <t>Date
Shipped</t>
  </si>
  <si>
    <t>Shipped  
To</t>
  </si>
  <si>
    <t>Number of Days at lab</t>
  </si>
  <si>
    <t>Data Input Confirmed</t>
  </si>
  <si>
    <t>SECTION O2: Coordinator Feedback</t>
  </si>
  <si>
    <t>Coordinator Tracking - Feedback</t>
  </si>
  <si>
    <t>Type</t>
  </si>
  <si>
    <t>(Email)</t>
  </si>
  <si>
    <t>(Phone)</t>
  </si>
  <si>
    <t>Issue</t>
  </si>
  <si>
    <t>Notify NIST?</t>
  </si>
  <si>
    <t>Suggested Resolution</t>
  </si>
  <si>
    <t>Assigned To</t>
  </si>
  <si>
    <t>Due Date</t>
  </si>
  <si>
    <t>Evaluation</t>
  </si>
  <si>
    <r>
      <rPr>
        <b/>
        <sz val="11"/>
        <color theme="1"/>
        <rFont val="Calibri"/>
        <family val="2"/>
        <scheme val="minor"/>
      </rPr>
      <t xml:space="preserve">NOTE: </t>
    </r>
    <r>
      <rPr>
        <sz val="11"/>
        <color theme="1"/>
        <rFont val="Calibri"/>
        <family val="2"/>
        <scheme val="minor"/>
      </rPr>
      <t xml:space="preserve"> </t>
    </r>
  </si>
  <si>
    <t>Enter the date for the PT Report signature block:</t>
  </si>
  <si>
    <t>Office of Weights and Measures</t>
  </si>
  <si>
    <t>Laboratory Metrology Program</t>
  </si>
  <si>
    <t>100 Bureau Dr, MS 2600</t>
  </si>
  <si>
    <t>Gaithersburg, MD 20899</t>
  </si>
  <si>
    <t>Phone: (301) 975-4004</t>
  </si>
  <si>
    <t>PT Identification:</t>
  </si>
  <si>
    <t>Measurand or Characteristics:</t>
  </si>
  <si>
    <t>Applicable Tolerances:</t>
  </si>
  <si>
    <r>
      <t>Portion of Tolerance for P</t>
    </r>
    <r>
      <rPr>
        <b/>
        <vertAlign val="subscript"/>
        <sz val="11"/>
        <color theme="1"/>
        <rFont val="Calibri"/>
        <family val="2"/>
        <scheme val="minor"/>
      </rPr>
      <t>n</t>
    </r>
    <r>
      <rPr>
        <b/>
        <sz val="11"/>
        <color theme="1"/>
        <rFont val="Calibri"/>
        <family val="2"/>
        <scheme val="minor"/>
      </rPr>
      <t>:</t>
    </r>
  </si>
  <si>
    <t>Description of Standard(s)</t>
  </si>
  <si>
    <t>Calibration Item:</t>
  </si>
  <si>
    <t>Owner:</t>
  </si>
  <si>
    <t>Serial No:</t>
  </si>
  <si>
    <t>Model/Design:</t>
  </si>
  <si>
    <t>Class and Type:</t>
  </si>
  <si>
    <t>Number of Items:</t>
  </si>
  <si>
    <t>History/Stability:</t>
  </si>
  <si>
    <t>Operation of PT</t>
  </si>
  <si>
    <t>PT Plan Filename:</t>
  </si>
  <si>
    <t>Design/Scheme:</t>
  </si>
  <si>
    <t>PT Statements</t>
  </si>
  <si>
    <t>Procedures Used for PT Evaluation</t>
  </si>
  <si>
    <t xml:space="preserve">Metrological Traceability </t>
  </si>
  <si>
    <t>Uncertainty Statement</t>
  </si>
  <si>
    <t>PT Participant Information</t>
  </si>
  <si>
    <t>Additional PT Summary Information, Comments or Recommendations for Participants</t>
  </si>
  <si>
    <t>Final/Approved</t>
  </si>
  <si>
    <t>The Office of Weights and Measures PT Program operates according a documented quality system that includes NISTIR 7082, Proficiency Test Policy and Plan and NISTIR 7214, Office of Weights and Measures, Quality Manual For Proficiency Testing and Interlaboratory Comparisons which incorporate by reference ISO/IEC 17043 and ISO 13528.</t>
  </si>
  <si>
    <r>
      <t xml:space="preserve">This final PT Report </t>
    </r>
    <r>
      <rPr>
        <sz val="11"/>
        <color rgb="FFFF0000"/>
        <rFont val="Calibri"/>
        <family val="2"/>
        <scheme val="minor"/>
      </rPr>
      <t xml:space="preserve">has or has not </t>
    </r>
    <r>
      <rPr>
        <sz val="11"/>
        <rFont val="Calibri"/>
        <family val="2"/>
        <scheme val="minor"/>
      </rPr>
      <t xml:space="preserve">been amended. </t>
    </r>
    <r>
      <rPr>
        <i/>
        <sz val="11"/>
        <rFont val="Calibri"/>
        <family val="2"/>
        <scheme val="minor"/>
      </rPr>
      <t>(If it has not been amended, delete "has or" and delete the next row).  If it has been amended, delete the "or has not", and complete the explanation in the next row.</t>
    </r>
  </si>
  <si>
    <r>
      <t>If the report was amended, reasons for amendment were the following: (</t>
    </r>
    <r>
      <rPr>
        <i/>
        <sz val="11"/>
        <rFont val="Calibri"/>
        <family val="2"/>
        <scheme val="minor"/>
      </rPr>
      <t>If not amended, delete this row).</t>
    </r>
  </si>
  <si>
    <t>Signature:</t>
  </si>
  <si>
    <t>NIST Office of Weights and Measures</t>
  </si>
  <si>
    <r>
      <rPr>
        <b/>
        <sz val="12"/>
        <color theme="1"/>
        <rFont val="Times New Roman"/>
        <family val="1"/>
      </rPr>
      <t>Note</t>
    </r>
    <r>
      <rPr>
        <sz val="12"/>
        <color theme="1"/>
        <rFont val="Times New Roman"/>
        <family val="1"/>
      </rPr>
      <t>: Please complete and submit this form via email to the PT Coordinator upon the arrival and inspection of the PT item(s). This form may be substituted with an email provided it contains all information.</t>
    </r>
  </si>
  <si>
    <t>PT Identification No.:</t>
  </si>
  <si>
    <t>PT Item(s) Details</t>
  </si>
  <si>
    <t xml:space="preserve">         Manufacturer:</t>
  </si>
  <si>
    <t xml:space="preserve">         Serial Number:</t>
  </si>
  <si>
    <t xml:space="preserve">         Model / Design:</t>
  </si>
  <si>
    <t xml:space="preserve">         Number of Pieces:</t>
  </si>
  <si>
    <t xml:space="preserve">         Range/ Nominal:</t>
  </si>
  <si>
    <t>Condition of packaging and shipping materials (noting any improper packaging, damage to shipping materials, or damage to PT items):</t>
  </si>
  <si>
    <t>Condition of the standards/visual inspection of the PT items (as received):</t>
  </si>
  <si>
    <t>Codes</t>
  </si>
  <si>
    <t>Assessment</t>
  </si>
  <si>
    <t>Pass/Fail</t>
  </si>
  <si>
    <r>
      <t>A.</t>
    </r>
    <r>
      <rPr>
        <sz val="12"/>
        <rFont val="Times New Roman"/>
        <family val="1"/>
      </rPr>
      <t xml:space="preserve"> Software Inspection</t>
    </r>
  </si>
  <si>
    <t>Spreadsheet is clear and makes sense</t>
  </si>
  <si>
    <t>There are instructions for use</t>
  </si>
  <si>
    <t>Instructions and data input appear on the visible portion of the first worksheet</t>
  </si>
  <si>
    <t>Pass</t>
  </si>
  <si>
    <t>Data-entry fields are labeled and color coded (it is recommended to avoid red and green)</t>
  </si>
  <si>
    <t>Fail</t>
  </si>
  <si>
    <t>The type/name of procedure used is clearly specified</t>
  </si>
  <si>
    <t>N/A</t>
  </si>
  <si>
    <t>The number of digits to be rounded to is specified*</t>
  </si>
  <si>
    <t>The user is warned/notified whenever data-entry fields are left blank*</t>
  </si>
  <si>
    <t>Data-entry fields are “blank” when opened, preventing loss of old data and ensuring that old data is not used with the current calculations</t>
  </si>
  <si>
    <t>The software opens at the right location within the file</t>
  </si>
  <si>
    <t>Unused fields/cells are locked</t>
  </si>
  <si>
    <t>Rows/columns that the operator need not see are hidden</t>
  </si>
  <si>
    <t>Unused worksheets are removed</t>
  </si>
  <si>
    <t>Worksheets are named appropriately</t>
  </si>
  <si>
    <t>Pass/Fail criteria are specified in instructions*</t>
  </si>
  <si>
    <t>Pass/Fail cells are automated (Not data-entry)</t>
  </si>
  <si>
    <t>Calculation fields are properly labeled</t>
  </si>
  <si>
    <t>Units are expressed properly and correctly*</t>
  </si>
  <si>
    <r>
      <t>B.</t>
    </r>
    <r>
      <rPr>
        <sz val="12"/>
        <rFont val="Times New Roman"/>
        <family val="1"/>
      </rPr>
      <t xml:space="preserve"> Mathematical Specification</t>
    </r>
  </si>
  <si>
    <t>The appropriate procedure is used*</t>
  </si>
  <si>
    <t>The formulae and methods chosen from that procedure are specified*</t>
  </si>
  <si>
    <t>Sources and references for formulae are specified</t>
  </si>
  <si>
    <t>The chosen procedure, its methods, and its formulae, are appropriate to the level of precision/uncertainty*</t>
  </si>
  <si>
    <r>
      <t>C.</t>
    </r>
    <r>
      <rPr>
        <sz val="12"/>
        <rFont val="Times New Roman"/>
        <family val="1"/>
      </rPr>
      <t xml:space="preserve"> Code Review</t>
    </r>
  </si>
  <si>
    <t>The formulae in the fields exactly match the procedure*</t>
  </si>
  <si>
    <t>Repeated calculations appropriately reference the correct cells*</t>
  </si>
  <si>
    <t>Calculations, when tested using standard data or reference test data, show appropriate accuracy*</t>
  </si>
  <si>
    <t>Rounding is done at the appropriate locations in the file*</t>
  </si>
  <si>
    <r>
      <t>D.</t>
    </r>
    <r>
      <rPr>
        <sz val="12"/>
        <rFont val="Times New Roman"/>
        <family val="1"/>
      </rPr>
      <t xml:space="preserve"> Numerical Stability</t>
    </r>
  </si>
  <si>
    <t>Calculations are stable as determined by an evaluation that uses large numbers and small differences.*</t>
  </si>
  <si>
    <t>Fields, therefore their content, are categorized as “Number” and not “General” when appropriate, and vice versa</t>
  </si>
  <si>
    <t>“Number” cells are locked to a limited number of decimal places; this limit is appropriate to the values being used</t>
  </si>
  <si>
    <r>
      <t xml:space="preserve">E. </t>
    </r>
    <r>
      <rPr>
        <sz val="12"/>
        <rFont val="Times New Roman"/>
        <family val="1"/>
      </rPr>
      <t>Component Testing</t>
    </r>
  </si>
  <si>
    <t>Conditional logic cells handle negative values properly</t>
  </si>
  <si>
    <t>Conditional logic cells withstand a Boundary Value test</t>
  </si>
  <si>
    <t>Each macro used is functional*</t>
  </si>
  <si>
    <t>Each command/button is functional*</t>
  </si>
  <si>
    <t>Combinations of interdependent macros are functional</t>
  </si>
  <si>
    <t>Plotted graphs are accurate*</t>
  </si>
  <si>
    <t>Plotted graphs and its axes are properly labeled</t>
  </si>
  <si>
    <t>Worksheets/reports print properly, if needed to</t>
  </si>
  <si>
    <t>Conditional (color and non-color) formatting is functional</t>
  </si>
  <si>
    <r>
      <t>F.</t>
    </r>
    <r>
      <rPr>
        <sz val="12"/>
        <rFont val="Times New Roman"/>
        <family val="1"/>
      </rPr>
      <t xml:space="preserve"> Numerical Reference Results</t>
    </r>
  </si>
  <si>
    <t>Look-up tables and lists match the latest calibration report.*</t>
  </si>
  <si>
    <t>Uncertainties match the latest Scope*</t>
  </si>
  <si>
    <t>Values that reference another workbook or spreadsheet are dated</t>
  </si>
  <si>
    <t>When a master list’s date is updated, the file references (A) an old value, (B) a default value, (C) displays zero or (D) an error message, as desired by the user</t>
  </si>
  <si>
    <r>
      <t xml:space="preserve">G. </t>
    </r>
    <r>
      <rPr>
        <sz val="12"/>
        <rFont val="Times New Roman"/>
        <family val="1"/>
      </rPr>
      <t>Embedded Data Evaluation</t>
    </r>
  </si>
  <si>
    <t>Embedded data (conversion factors, reference values, etc) is correct*</t>
  </si>
  <si>
    <t>The evaluation of the embedded data is dated and documented</t>
  </si>
  <si>
    <t>The instructions worksheet includes a list of all additional files and plug-ins needed for it to run properly</t>
  </si>
  <si>
    <r>
      <t xml:space="preserve">H. </t>
    </r>
    <r>
      <rPr>
        <sz val="12"/>
        <rFont val="Times New Roman"/>
        <family val="1"/>
      </rPr>
      <t>Back-to-Back Testing</t>
    </r>
  </si>
  <si>
    <t>Newer spreadsheets and older spreadsheets agree down to the level of intermediate calculations; this evaluation is dated and documented*</t>
  </si>
  <si>
    <r>
      <t xml:space="preserve">I. </t>
    </r>
    <r>
      <rPr>
        <sz val="12"/>
        <rFont val="Times New Roman"/>
        <family val="1"/>
      </rPr>
      <t>Analysis With Out Computer Assistance</t>
    </r>
  </si>
  <si>
    <t>Hand calculations agree with those generated by the spreadsheet, or if they disagree, the differences are significantly smaller than the reported uncertainty*</t>
  </si>
  <si>
    <t>Conclusions and results are apparent (if appropriate)*</t>
  </si>
  <si>
    <r>
      <t xml:space="preserve">J. </t>
    </r>
    <r>
      <rPr>
        <sz val="12"/>
        <rFont val="Times New Roman"/>
        <family val="1"/>
      </rPr>
      <t>Security</t>
    </r>
  </si>
  <si>
    <t>Equation and calculation cells are protected against inadvertent editing</t>
  </si>
  <si>
    <t>Cells are locked in place; they cannot be moved/dragged</t>
  </si>
  <si>
    <t>Confidentiality of passwords is appropriate</t>
  </si>
  <si>
    <t>Files are backed up automatically</t>
  </si>
  <si>
    <t>Additional back-up is available at alternate facilities</t>
  </si>
  <si>
    <t>Files on network drives cannot be accidentally deleted</t>
  </si>
  <si>
    <t>*Failing these tests could drastically change results of spreadsheet</t>
  </si>
  <si>
    <t>Number of Passes</t>
  </si>
  <si>
    <t>Number of Fails</t>
  </si>
  <si>
    <t>Number of N/A's</t>
  </si>
  <si>
    <t>Additional Notes:</t>
  </si>
  <si>
    <t xml:space="preserve">   Signed</t>
  </si>
  <si>
    <t xml:space="preserve">   Title</t>
  </si>
  <si>
    <t>Lab:</t>
  </si>
  <si>
    <r>
      <t xml:space="preserve">Software Description: </t>
    </r>
    <r>
      <rPr>
        <sz val="12"/>
        <rFont val="Times New Roman"/>
        <family val="1"/>
      </rPr>
      <t>PT Plan template</t>
    </r>
  </si>
  <si>
    <t>Result/Observations 
(Attach Evidence or Describe)</t>
  </si>
  <si>
    <t>*Ensure approval from NIST OWM (Form F02 may be needed). If a participant needs to participate to complete LAP Problems, note it here.</t>
  </si>
  <si>
    <t>PT Participation Request -Training-Qualification Form</t>
  </si>
  <si>
    <t>PT Items Receipt &amp; Assessment Form</t>
  </si>
  <si>
    <t xml:space="preserve">Operating Procedure for Planning, Operating, Analyzing, and Reporting of PT Results </t>
  </si>
  <si>
    <t>NISTIR 7214:</t>
  </si>
  <si>
    <t xml:space="preserve">PTP-01 : </t>
  </si>
  <si>
    <t>REFERENCES:</t>
  </si>
  <si>
    <r>
      <rPr>
        <b/>
        <sz val="14"/>
        <color theme="1"/>
        <rFont val="Calibri"/>
        <family val="2"/>
        <scheme val="minor"/>
      </rPr>
      <t>Quality Manual</t>
    </r>
    <r>
      <rPr>
        <sz val="14"/>
        <color theme="1"/>
        <rFont val="Calibri"/>
        <family val="2"/>
        <scheme val="minor"/>
      </rPr>
      <t>, which includes all applicable procedures, forms and templates.</t>
    </r>
  </si>
  <si>
    <t>Artefact Description</t>
  </si>
  <si>
    <t>· Handle in the same manner as routine calibrations of similar type items (unless otherwise specified). 
· Do not clean or adjust any standards unless it is specified in the procedure. 
· Report any breakage or damage to the PT Coordinator and NIST. 
· (Add additional instructions if needed here.)</t>
  </si>
  <si>
    <t>· Ensure standards are packed to prevent damage or breakage 
· Notify the PT Coordinator and NIST OWM if any deviations are observed.
· (Add additional instructions if needed here.)</t>
  </si>
  <si>
    <t>(Procedure: SAP 6)</t>
  </si>
  <si>
    <t>Shipping &amp; Insurance</t>
  </si>
  <si>
    <t>W. Ombati</t>
  </si>
  <si>
    <t>Removed FedEx account number and data validation from the P3; Artifact &amp; Shipping!B47 cell.  
Removed Georgia Harris info from NIST Contacts list and added Micheal Hicks info.</t>
  </si>
  <si>
    <t>SAP-06</t>
  </si>
  <si>
    <t>Standard Administrative Procedure for Packaging, Shipping, Storage &amp; Handling of PT Test Items</t>
  </si>
  <si>
    <t>Software Verification and Validation</t>
  </si>
  <si>
    <t>Form F14</t>
  </si>
  <si>
    <t xml:space="preserve">OWM Staff </t>
  </si>
  <si>
    <t xml:space="preserve">This report is to be used for laboratory measurement assurance activities and may be shared with laboratory management and a laboratory's accreditation or recognition bodies.  The report or data herein may not be used for advertising, publication, sharing of another laboratory's results, or marketing and is considered confidential other than for expressly stated purposes. Sharing for alternative purposes is expressly prohibited without the written approval of OWM and all participants. Complaints or feedback regarding this Proficiency Test, its operation, analysis, or reporting may be submitted to NIST OWM Laboratory Metrology Program staff using Form 1 (available on the NIST OWM website). General PT or program feedback and opportunities for improvement may be submitted to OWM Laboratory Metrology Program staff via email: owm@nist.gov. </t>
  </si>
  <si>
    <r>
      <t xml:space="preserve">The calibration item(s) described in this report has/have assigned measurement results that have demonstrated metrological traceability referenced to the International System of Units (SI).  The assigned reference values are identified on the applicable tabulated page for each standard PT artifact and are consistent with reference value selection methods in ISO 13528:2022.  The OWM PTP1 (procedure for PT Planning, Operating, Analyzing, and Reporting PT Results) and the OWM PT Guides provide descriptions of methods used to ensure metrological traceability. Each laboratory participant is expected to demonstrate metrological traceability to the SI. Descriptions of </t>
    </r>
    <r>
      <rPr>
        <i/>
        <sz val="11"/>
        <color rgb="FF000000"/>
        <rFont val="Calibri"/>
        <family val="2"/>
        <scheme val="minor"/>
      </rPr>
      <t>E</t>
    </r>
    <r>
      <rPr>
        <i/>
        <vertAlign val="subscript"/>
        <sz val="11"/>
        <color rgb="FF000000"/>
        <rFont val="Calibri"/>
        <family val="2"/>
        <scheme val="minor"/>
      </rPr>
      <t>n</t>
    </r>
    <r>
      <rPr>
        <sz val="11"/>
        <color indexed="8"/>
        <rFont val="Calibri"/>
        <family val="2"/>
        <scheme val="minor"/>
      </rPr>
      <t xml:space="preserve"> and </t>
    </r>
    <r>
      <rPr>
        <i/>
        <sz val="11"/>
        <color rgb="FF000000"/>
        <rFont val="Calibri"/>
        <family val="2"/>
        <scheme val="minor"/>
      </rPr>
      <t>P</t>
    </r>
    <r>
      <rPr>
        <i/>
        <vertAlign val="subscript"/>
        <sz val="11"/>
        <color rgb="FF000000"/>
        <rFont val="Calibri"/>
        <family val="2"/>
        <scheme val="minor"/>
      </rPr>
      <t>n</t>
    </r>
    <r>
      <rPr>
        <sz val="11"/>
        <color indexed="8"/>
        <rFont val="Calibri"/>
        <family val="2"/>
        <scheme val="minor"/>
      </rPr>
      <t xml:space="preserve"> analysis methods are further described in the OWM PT Guide 1 (PTG 1).</t>
    </r>
  </si>
  <si>
    <r>
      <t xml:space="preserve">The expanded uncertainty reported for the assigned reference value(s) defines an interval with a 95.45 % level of confidence. The expanded uncertainty presented in this report is consistent with ISO/IEC 17043, ISO 13528:2022 for assigning PT reference values, and is consistent with the BIPM JCGM 100:2008, </t>
    </r>
    <r>
      <rPr>
        <i/>
        <sz val="11"/>
        <rFont val="Calibri"/>
        <family val="2"/>
        <scheme val="minor"/>
      </rPr>
      <t>Evaluation of measurement data — Guide to the expression of uncertainty in measurement (GUM 1995 with minor corrections)</t>
    </r>
    <r>
      <rPr>
        <sz val="11"/>
        <rFont val="Calibri"/>
        <family val="2"/>
        <scheme val="minor"/>
      </rPr>
      <t>. See the OWM SOP for PT Coordination, Analysis, and Reporting or the PT Guide 1 (PTG 1) for descriptions of methods used to assign expanded uncertainties for reference values.</t>
    </r>
  </si>
  <si>
    <t xml:space="preserve">Proficiency Testing Services </t>
  </si>
  <si>
    <t>Lab Contact</t>
  </si>
  <si>
    <t>Lab Codes for OWM PT/ILC Participants</t>
  </si>
  <si>
    <t>Official Data validation list</t>
  </si>
  <si>
    <t>Measurement Units</t>
  </si>
  <si>
    <t>SOP used</t>
  </si>
  <si>
    <t>Documentary Standards (Tolerances to be Applied to Decision Rules and Pn Assessment)</t>
  </si>
  <si>
    <t>Category</t>
  </si>
  <si>
    <t>Units</t>
  </si>
  <si>
    <t>SOP #: Title (Year)</t>
  </si>
  <si>
    <t>Documentary Standards (Tolerances Applied to Decision Rules and Pn Assessment)</t>
  </si>
  <si>
    <t>SOP 1: Preparation of Calibration Certificates (2019)</t>
  </si>
  <si>
    <t>NIST HB 105-1: Specifications and Tolerances for Field Standard Weights (NIST Class F) - 1990</t>
  </si>
  <si>
    <t>SOP 2: Applying Air Buoyancy Corrections (2019)</t>
  </si>
  <si>
    <t>NIST HB 105-2: Specifications and Tolerances for Field Standard Measuring Flasks - 1996</t>
  </si>
  <si>
    <t>SOP 3: Weighing by Double Substitution Using an Equal-Arm Balance (1986)</t>
  </si>
  <si>
    <t>NIST HB 105-3: Specifications and Tolerances for Graduated Neck Type Volumetric Field Standards - 2010</t>
  </si>
  <si>
    <t>SOP 4: Weighing by Double Substitution (2019)</t>
  </si>
  <si>
    <t>NIST HB 105-4: Specifications and Tolerances for Liquefied Petroleum Gas and Anhydrous Ammonia Liquid Volumetric Provers - 2016</t>
  </si>
  <si>
    <t>SOP 5: Using a 3-1 Weighing Design (IR5672) (2019)</t>
  </si>
  <si>
    <t>NIST HB 105-5: Specifications and Tolerances for Field Standard Stopwatches - 1997</t>
  </si>
  <si>
    <t>SOP 6: Weighing By Transposition</t>
  </si>
  <si>
    <t>NIST HB 105-6: Specifications and Tolerances for Thermometers - 1997</t>
  </si>
  <si>
    <t>NeMAP</t>
  </si>
  <si>
    <t>SOP 7: Weighing by Single Substitution Using a Single Pan Mechanical Balance, a Full Electronic Balance, or a Balance with Digital Indications and Built in Weights (2019)</t>
  </si>
  <si>
    <t>NIST HB 105-7: Specifications and Tolerances for Dynamic Small Volume Provers - 1997</t>
  </si>
  <si>
    <t>SOP 8: Medium Accuracy Calibrations of Mass Standards by Modified Substitution (2019)</t>
  </si>
  <si>
    <t>NIST HB 105-8: Specifications and Tolerances for Field Standard Weight Carts – 2019</t>
  </si>
  <si>
    <t>SOP 9: Control Charts for Calibration of Mass Standards</t>
  </si>
  <si>
    <t>SOP 10: Calibration of Rigid Rules (2014)</t>
  </si>
  <si>
    <t>SOP 11: Calibration of Metal Tapes, Bench Method (2014)</t>
  </si>
  <si>
    <t>SOP 12: Calibration of Steel Tapes, Tape-to-Tape Method (2014)</t>
  </si>
  <si>
    <t>SOP 13: Calibration of Volumetric Ware, Gravimetric Method (2006)</t>
  </si>
  <si>
    <t>SOP 14: Gravimetric Calibration of Volumetric Ware Using an Electronic Balance (2019)</t>
  </si>
  <si>
    <t>SOP 15: Calibration of Intermediate and Large Volume Standards Gravimetric Method Using an Equal-Arm Balance (2006)</t>
  </si>
  <si>
    <t>SOP 16: Calibration of Measuring Flasks, Volume Transfer Method (2019)</t>
  </si>
  <si>
    <t>SOP 17: Control Charts of Laboratory-Owned Check Standards (2019)</t>
  </si>
  <si>
    <t>SOP 18: Calibration of Graduated Neck-Type Metal Volumetric Field Standards, Volumetric Transfer Method (2019)</t>
  </si>
  <si>
    <t>ASTM E617-23: Standard Specification for Laboratory Weights and Precision Mass Standards – 2023  Class 00</t>
  </si>
  <si>
    <t>SOP 19: Calibration of Large Neck-Type Metal Provers, Volume Transfer Method (2019)</t>
  </si>
  <si>
    <t>ASTM E617-23: Standard Specification for Laboratory Weights and Precision Mass Standards – 2023  Class 0</t>
  </si>
  <si>
    <t>SOP 20: Standard Deviation and Range Charts (2019)</t>
  </si>
  <si>
    <t>ASTM E617-23: Standard Specification for Laboratory Weights and Precision Mass Standards – 2023  Class 1</t>
  </si>
  <si>
    <t>SOP 21: Calibration of LPG Provers (2019)</t>
  </si>
  <si>
    <t>ASTM E617-23: Standard Specification for Laboratory Weights and Precision Mass Standards – 2023  Class 2</t>
  </si>
  <si>
    <t>SOP 22: Calibration of Traffic Speed Guns and Tuning Forks (2019)</t>
  </si>
  <si>
    <t>ASTM E617-23: Standard Specification for Laboratory Weights and Precision Mass Standards – 2023  Class 3</t>
  </si>
  <si>
    <t>SOP 23: Calibrations of PI Tapes Bench Method (2014)</t>
  </si>
  <si>
    <t>ASTM E617-23: Standard Specification for Laboratory Weights and Precision Mass Standards – 2023  Class 4</t>
  </si>
  <si>
    <t>SOP 24: Calibration of Field Standard Stopwatches (2019)</t>
  </si>
  <si>
    <t>ASTM E617-23: Standard Specification for Laboratory Weights and Precision Mass Standards – 2023  Class 5</t>
  </si>
  <si>
    <t>degrees Celsius</t>
  </si>
  <si>
    <t>SOP 26: Gravimetric Calibration of Dynamic Volumetric Systems used as Standards (2019)</t>
  </si>
  <si>
    <t>ASTM E617-23: Standard Specification for Laboratory Weights and Precision Mass Standards – 2023  Class 6</t>
  </si>
  <si>
    <t>SOP 27: Calibration of Railroad Test Cars (Mass) (2019)</t>
  </si>
  <si>
    <t>ASTM E617-23: Standard Specification for Laboratory Weights and Precision Mass Standards – 2023  Class 7</t>
  </si>
  <si>
    <t>SOP 28: Using Advanced Weighing Designs (IR5672) (2019)</t>
  </si>
  <si>
    <t>SOP 29: Assignment of Uncertainty (2019)</t>
  </si>
  <si>
    <t xml:space="preserve">SOP 30: Process Measurement Assurance Program </t>
  </si>
  <si>
    <t>SOP 31: Scale Plate Calibration for Volumetric Field Standards (2019)</t>
  </si>
  <si>
    <t>SOP 33: Calibration of Weights Carts (2019)</t>
  </si>
  <si>
    <t>SOP 34: Selection and Use of Sensitivity Weights and Tare Weights in Weighing Procedures (2019)</t>
  </si>
  <si>
    <t>SOP 49: Calibration of Environmental Monitoring Standards by Direct Comparison (2019)</t>
  </si>
  <si>
    <t>SOP 52: Verification and Adjustment of Digital Conductivity Meter and Measuring Water Conductivity (2019)</t>
  </si>
  <si>
    <t>Henry</t>
  </si>
  <si>
    <t>Siemens</t>
  </si>
  <si>
    <t>Weber</t>
  </si>
  <si>
    <t>Ampere per meter</t>
  </si>
  <si>
    <t>ALL</t>
  </si>
  <si>
    <t>NIST</t>
  </si>
  <si>
    <t>NYC</t>
  </si>
  <si>
    <t>New York City</t>
  </si>
  <si>
    <t>OHA</t>
  </si>
  <si>
    <t>Ohaus</t>
  </si>
  <si>
    <t>DC</t>
  </si>
  <si>
    <t>District of Columbia</t>
  </si>
  <si>
    <t>Measurements Canada</t>
  </si>
  <si>
    <t>JBS</t>
  </si>
  <si>
    <t>Jamaica Bureau of Standards</t>
  </si>
  <si>
    <t>NSPR</t>
  </si>
  <si>
    <t>National Standards of Puerto Rico</t>
  </si>
  <si>
    <t>Abbott Laboratories</t>
  </si>
  <si>
    <t>LAC</t>
  </si>
  <si>
    <t>Newton meter</t>
  </si>
  <si>
    <t>Newton</t>
  </si>
  <si>
    <t>3M</t>
  </si>
  <si>
    <t>Minnesota Mining &amp; Manufacturing</t>
  </si>
  <si>
    <t>ALD</t>
  </si>
  <si>
    <t>ACS Aldinger</t>
  </si>
  <si>
    <t>Antibus Scales and Systems</t>
  </si>
  <si>
    <t>APSL</t>
  </si>
  <si>
    <t>Redstone - Army Primary Stds Lab</t>
  </si>
  <si>
    <t>minims</t>
  </si>
  <si>
    <t>minim(s)</t>
  </si>
  <si>
    <t>Atlantic Scale</t>
  </si>
  <si>
    <t>Barbados</t>
  </si>
  <si>
    <t>CMI</t>
  </si>
  <si>
    <t>Certified Measurements Inc.</t>
  </si>
  <si>
    <t>Consumer Power/Energy</t>
  </si>
  <si>
    <t>Dominican Republic</t>
  </si>
  <si>
    <t>EG&amp;G</t>
  </si>
  <si>
    <t>FGIS</t>
  </si>
  <si>
    <t>GAF</t>
  </si>
  <si>
    <t>Georgia (State) Fuel Oil Lab</t>
  </si>
  <si>
    <t>GRS</t>
  </si>
  <si>
    <t>Grand Rapid Scale</t>
  </si>
  <si>
    <t>HT</t>
  </si>
  <si>
    <t>Hi-Tech</t>
  </si>
  <si>
    <t>INEN</t>
  </si>
  <si>
    <t>Ecuador</t>
  </si>
  <si>
    <t>LANL</t>
  </si>
  <si>
    <t>Los Alamos National Laboratory</t>
  </si>
  <si>
    <t>Mettler Toledo</t>
  </si>
  <si>
    <t>NVLV</t>
  </si>
  <si>
    <t>Nevada Las Vegas</t>
  </si>
  <si>
    <t>ORMC</t>
  </si>
  <si>
    <t>ORNL</t>
  </si>
  <si>
    <t>PM</t>
  </si>
  <si>
    <t>Phillip Morris</t>
  </si>
  <si>
    <t>Premier Scale</t>
  </si>
  <si>
    <t>QCE</t>
  </si>
  <si>
    <t>Quality Control Services East</t>
  </si>
  <si>
    <t>QCS</t>
  </si>
  <si>
    <t>Quality Control Services</t>
  </si>
  <si>
    <t>RLWS</t>
  </si>
  <si>
    <t>Rice Lake Weighing Systems</t>
  </si>
  <si>
    <t>Seraphin/Pemberton Industries</t>
  </si>
  <si>
    <t>SLBS</t>
  </si>
  <si>
    <t>St Lucia Bureau of Standards</t>
  </si>
  <si>
    <t>SNL</t>
  </si>
  <si>
    <t>Sandia National Laboratory</t>
  </si>
  <si>
    <t>SRNL</t>
  </si>
  <si>
    <t>Savannah River National Lab</t>
  </si>
  <si>
    <t>T&amp;T</t>
  </si>
  <si>
    <t>Trinidad and Tobago</t>
  </si>
  <si>
    <t>TI</t>
  </si>
  <si>
    <t>Texas Instruments</t>
  </si>
  <si>
    <t>TR</t>
  </si>
  <si>
    <t>Troemner</t>
  </si>
  <si>
    <t>VWR</t>
  </si>
  <si>
    <t>VWR (PR)</t>
  </si>
  <si>
    <t>WSR</t>
  </si>
  <si>
    <t>Westinghouse, Savannah River</t>
  </si>
  <si>
    <t>Wyeth Ayerst</t>
  </si>
  <si>
    <t>Mentor (Optional):</t>
  </si>
  <si>
    <t>Observer (Optional):</t>
  </si>
  <si>
    <t>Technical Advisor(Optional):</t>
  </si>
  <si>
    <t>Tolerance for Assessing Pn:</t>
  </si>
  <si>
    <t>Maryland</t>
  </si>
  <si>
    <t>Gaithersburg</t>
  </si>
  <si>
    <t>WYA</t>
  </si>
  <si>
    <t>State Lab</t>
  </si>
  <si>
    <t>State  Lab*</t>
  </si>
  <si>
    <t>OIML R 111-1 (2004)</t>
  </si>
  <si>
    <t>NIST HB 105-1 (1990)</t>
  </si>
  <si>
    <t>NIST HB 105-2 (1996)</t>
  </si>
  <si>
    <t>NIST HB 105-3 (2010)</t>
  </si>
  <si>
    <t>NIST HB 105-4 (2016)</t>
  </si>
  <si>
    <t>NIST HB 105-5 (1997)</t>
  </si>
  <si>
    <t>NIST HB 105-6 (1997)</t>
  </si>
  <si>
    <t>NIST HB 105-7 (1997)</t>
  </si>
  <si>
    <t>NIST HB 105-8 (2019)</t>
  </si>
  <si>
    <t>ASTM E617-23 (2023)</t>
  </si>
  <si>
    <t>ASTM E288</t>
  </si>
  <si>
    <t>ASTM E74</t>
  </si>
  <si>
    <t xml:space="preserve"> </t>
  </si>
  <si>
    <t>SOP 1</t>
  </si>
  <si>
    <t>SOP 2</t>
  </si>
  <si>
    <t>SOP 3</t>
  </si>
  <si>
    <t>SOP 4</t>
  </si>
  <si>
    <t>SOP 5</t>
  </si>
  <si>
    <t>SOP 6</t>
  </si>
  <si>
    <t>SOP 7</t>
  </si>
  <si>
    <t>SOP 8</t>
  </si>
  <si>
    <t>SOP 9</t>
  </si>
  <si>
    <t>SOP 10</t>
  </si>
  <si>
    <t>SOP 11</t>
  </si>
  <si>
    <t>SOP 12</t>
  </si>
  <si>
    <t>SOP 13</t>
  </si>
  <si>
    <t>SOP 14</t>
  </si>
  <si>
    <t>SOP 15</t>
  </si>
  <si>
    <t>SOP 16</t>
  </si>
  <si>
    <t>SOP 17</t>
  </si>
  <si>
    <t>SOP 18</t>
  </si>
  <si>
    <t>SOP 19</t>
  </si>
  <si>
    <t>SOP 20</t>
  </si>
  <si>
    <t>SOP 21</t>
  </si>
  <si>
    <t>SOP 22</t>
  </si>
  <si>
    <t>SOP 23</t>
  </si>
  <si>
    <t>SOP 24</t>
  </si>
  <si>
    <t>SOP 26</t>
  </si>
  <si>
    <t>SOP 27</t>
  </si>
  <si>
    <t>SOP 28</t>
  </si>
  <si>
    <t>SOP 29</t>
  </si>
  <si>
    <t>SOP 30</t>
  </si>
  <si>
    <t>SOP 31</t>
  </si>
  <si>
    <t>SOP 33</t>
  </si>
  <si>
    <t>SOP 34</t>
  </si>
  <si>
    <t>SOP 49</t>
  </si>
  <si>
    <t>SOP 52</t>
  </si>
  <si>
    <r>
      <t>Normalized Error (</t>
    </r>
    <r>
      <rPr>
        <i/>
        <sz val="11"/>
        <color theme="1"/>
        <rFont val="Calibri"/>
        <family val="2"/>
        <scheme val="minor"/>
      </rPr>
      <t>E</t>
    </r>
    <r>
      <rPr>
        <vertAlign val="subscript"/>
        <sz val="11"/>
        <color theme="1"/>
        <rFont val="Calibri"/>
        <family val="2"/>
        <scheme val="minor"/>
      </rPr>
      <t>n</t>
    </r>
    <r>
      <rPr>
        <sz val="11"/>
        <color theme="1"/>
        <rFont val="Calibri"/>
        <family val="2"/>
        <scheme val="minor"/>
      </rPr>
      <t>) - Used for Pass/Fail Assessment</t>
    </r>
  </si>
  <si>
    <r>
      <t>Precision Assessment (</t>
    </r>
    <r>
      <rPr>
        <i/>
        <sz val="11"/>
        <color theme="1"/>
        <rFont val="Calibri"/>
        <family val="2"/>
        <scheme val="minor"/>
      </rPr>
      <t>P</t>
    </r>
    <r>
      <rPr>
        <vertAlign val="subscript"/>
        <sz val="11"/>
        <color theme="1"/>
        <rFont val="Calibri"/>
        <family val="2"/>
        <scheme val="minor"/>
      </rPr>
      <t>n</t>
    </r>
    <r>
      <rPr>
        <sz val="11"/>
        <color theme="1"/>
        <rFont val="Calibri"/>
        <family val="2"/>
        <scheme val="minor"/>
      </rPr>
      <t>) - Used for Pass/Fail Assessment</t>
    </r>
  </si>
  <si>
    <t>100 Bureau Drive, Bldg 101/ Rm B07</t>
  </si>
  <si>
    <t>Guam</t>
  </si>
  <si>
    <t>Industry lab</t>
  </si>
  <si>
    <t>Industry lab*</t>
  </si>
  <si>
    <t>Manufacturer</t>
  </si>
  <si>
    <t>Description</t>
  </si>
  <si>
    <t>Notes</t>
  </si>
  <si>
    <t>File name containing Ref value &amp; U</t>
  </si>
  <si>
    <t>Replacement Value</t>
  </si>
  <si>
    <t>Density</t>
  </si>
  <si>
    <t>Metric Mass III weight Set</t>
  </si>
  <si>
    <t>5 kg to 1 mg</t>
  </si>
  <si>
    <t>1F6R</t>
  </si>
  <si>
    <t>$4400</t>
  </si>
  <si>
    <t>1F6S</t>
  </si>
  <si>
    <t>1F6Q</t>
  </si>
  <si>
    <t>US Mass III Weight Set</t>
  </si>
  <si>
    <t>10 lb to 1/32 oz</t>
  </si>
  <si>
    <t>1F6H</t>
  </si>
  <si>
    <t>$3500</t>
  </si>
  <si>
    <t>1F6J</t>
  </si>
  <si>
    <t>1F6L</t>
  </si>
  <si>
    <t>1F6K</t>
  </si>
  <si>
    <t>Seraphin</t>
  </si>
  <si>
    <t>DC tag 3249</t>
  </si>
  <si>
    <t>$7500</t>
  </si>
  <si>
    <t>Special J</t>
  </si>
  <si>
    <t>02-17530-10</t>
  </si>
  <si>
    <t>$3700</t>
  </si>
  <si>
    <t>10-07343</t>
  </si>
  <si>
    <t>$1000</t>
  </si>
  <si>
    <t>10-07350</t>
  </si>
  <si>
    <t>10-07345</t>
  </si>
  <si>
    <t>10-07348</t>
  </si>
  <si>
    <t>10-07347</t>
  </si>
  <si>
    <t>1F6P</t>
  </si>
  <si>
    <t>1F6A</t>
  </si>
  <si>
    <t>$1100</t>
  </si>
  <si>
    <t>A, A*</t>
  </si>
  <si>
    <t>$1160</t>
  </si>
  <si>
    <t>08-05104</t>
  </si>
  <si>
    <t>1F6B</t>
  </si>
  <si>
    <t>1F6C</t>
  </si>
  <si>
    <t>1F6D</t>
  </si>
  <si>
    <t>1F6E</t>
  </si>
  <si>
    <t>B, B*</t>
  </si>
  <si>
    <t>US SS Handle Weight</t>
  </si>
  <si>
    <t>10 lb</t>
  </si>
  <si>
    <t>3155</t>
  </si>
  <si>
    <t>C, C*</t>
  </si>
  <si>
    <t>US Class 3 SS Weight</t>
  </si>
  <si>
    <t>50 lb</t>
  </si>
  <si>
    <t>3</t>
  </si>
  <si>
    <t>D, D*</t>
  </si>
  <si>
    <t>25 lb Cast Iron  Class F</t>
  </si>
  <si>
    <t>TN01</t>
  </si>
  <si>
    <t>E, E*</t>
  </si>
  <si>
    <t>1F6N</t>
  </si>
  <si>
    <t>1F6I</t>
  </si>
  <si>
    <t>$14,500 for prover and pallet, $17,000 for whole assembly.</t>
  </si>
  <si>
    <t>00-18085</t>
  </si>
  <si>
    <t>$8000</t>
  </si>
  <si>
    <t>500 lb SS weight</t>
  </si>
  <si>
    <t>V1 &amp; V2</t>
  </si>
  <si>
    <t>$50000</t>
  </si>
  <si>
    <t>Lufkin</t>
  </si>
  <si>
    <t>C-2207R</t>
  </si>
  <si>
    <t>OWM NBS #545</t>
  </si>
  <si>
    <t>$500</t>
  </si>
  <si>
    <t>Phase II 10 kg to 1 mg</t>
  </si>
  <si>
    <t>B</t>
  </si>
  <si>
    <t>D</t>
  </si>
  <si>
    <t>E</t>
  </si>
  <si>
    <t>04-00404</t>
  </si>
  <si>
    <t>WA001</t>
  </si>
  <si>
    <t>73592</t>
  </si>
  <si>
    <t>Unknown</t>
  </si>
  <si>
    <t>NC200001</t>
  </si>
  <si>
    <t>1 kg to 10 mg</t>
  </si>
  <si>
    <t>2013</t>
  </si>
  <si>
    <t>Fairbanks</t>
  </si>
  <si>
    <t>SGA</t>
  </si>
  <si>
    <t>1 qt</t>
  </si>
  <si>
    <t>64</t>
  </si>
  <si>
    <t>NC WORKING STD/NC 81</t>
  </si>
  <si>
    <t>Cardinal</t>
  </si>
  <si>
    <t>20 kg Mass III Cast Iron Weight</t>
  </si>
  <si>
    <t>COLO W&amp;M DD-0003</t>
  </si>
  <si>
    <t>NIST Tag 536316</t>
  </si>
  <si>
    <t>15962</t>
  </si>
  <si>
    <t>Troemner/RLWS</t>
  </si>
  <si>
    <t>NIST Tag 596651 (50) &amp; 3155 (10)</t>
  </si>
  <si>
    <t>Control Company</t>
  </si>
  <si>
    <t>4000</t>
  </si>
  <si>
    <t>105719269</t>
  </si>
  <si>
    <t>Mass MAP 2</t>
  </si>
  <si>
    <t>1 kg to 1 mg</t>
  </si>
  <si>
    <t>Mass MAP 1</t>
  </si>
  <si>
    <t>Grip Handle cast iron weight</t>
  </si>
  <si>
    <t>20 kg</t>
  </si>
  <si>
    <t>7</t>
  </si>
  <si>
    <t>10 kg</t>
  </si>
  <si>
    <t>MET3</t>
  </si>
  <si>
    <t>32 oz</t>
  </si>
  <si>
    <t>Flask will be use to perform Neck Calibration on 15 gal PT artifact S/N 00-18085</t>
  </si>
  <si>
    <t>Column1</t>
  </si>
  <si>
    <t>-</t>
  </si>
  <si>
    <t>Model/Design</t>
  </si>
  <si>
    <t>Range/ Nominal</t>
  </si>
  <si>
    <t>Number of pieces</t>
  </si>
  <si>
    <t>Material</t>
  </si>
  <si>
    <t>Tolerance classification</t>
  </si>
  <si>
    <t xml:space="preserve">0 °C to 100 °C </t>
  </si>
  <si>
    <t>ASTM Class 3</t>
  </si>
  <si>
    <t>50 lb &amp; 10 lb</t>
  </si>
  <si>
    <t>Cast Iron Weight</t>
  </si>
  <si>
    <t>Cast Iron</t>
  </si>
  <si>
    <t>Class F</t>
  </si>
  <si>
    <t>Quartz</t>
  </si>
  <si>
    <t xml:space="preserve">Cast Iron </t>
  </si>
  <si>
    <t>ASTM Class 1</t>
  </si>
  <si>
    <t>0.5 lb to 0.001 lb</t>
  </si>
  <si>
    <t>5 gal</t>
  </si>
  <si>
    <t>10 kg to 1 mg</t>
  </si>
  <si>
    <t>Steel</t>
  </si>
  <si>
    <t>15 gal</t>
  </si>
  <si>
    <t>100 gal</t>
  </si>
  <si>
    <t>1 kg</t>
  </si>
  <si>
    <t>25 lb</t>
  </si>
  <si>
    <t>100 g to 1 mg</t>
  </si>
  <si>
    <t>Stainless steel</t>
  </si>
  <si>
    <t>Digital Thermometer (0 °C to 100 °C ± 0.05 °C)</t>
  </si>
  <si>
    <t>Artifact Serial Number</t>
  </si>
  <si>
    <t>Contact's Name</t>
  </si>
  <si>
    <t>Address</t>
  </si>
  <si>
    <t>Michael Hicks</t>
  </si>
  <si>
    <r>
      <t>+1</t>
    </r>
    <r>
      <rPr>
        <b/>
        <sz val="9"/>
        <color rgb="FF000000"/>
        <rFont val="Arial"/>
        <family val="2"/>
      </rPr>
      <t> </t>
    </r>
    <r>
      <rPr>
        <sz val="9"/>
        <color rgb="FF000000"/>
        <rFont val="Arial"/>
        <family val="2"/>
      </rPr>
      <t>301-975-4615</t>
    </r>
  </si>
  <si>
    <t>(Select the artifact ID)</t>
  </si>
  <si>
    <t>(complete as necessary)</t>
  </si>
  <si>
    <t>Artifacts Inventory</t>
  </si>
  <si>
    <t>tobias.herman@nist.gov</t>
  </si>
  <si>
    <t>301-975-4808</t>
  </si>
  <si>
    <t xml:space="preserve">NIST Office of Weights and Measures </t>
  </si>
  <si>
    <t>Tobias Herman</t>
  </si>
  <si>
    <t>NIST OWM PT Coordinators</t>
  </si>
  <si>
    <t>Measurement Parameter(s) and Range(s)</t>
  </si>
  <si>
    <t>Region/Laboratory</t>
  </si>
  <si>
    <t>Regional Coordinator's
 Name</t>
  </si>
  <si>
    <t>PT Coordinators</t>
  </si>
  <si>
    <t>PT Analysts</t>
  </si>
  <si>
    <t>18 in</t>
  </si>
  <si>
    <t>20 lb</t>
  </si>
  <si>
    <t>(autofilled)</t>
  </si>
  <si>
    <t xml:space="preserve">Lab Contact </t>
  </si>
  <si>
    <t>PT Coordinator's Name:</t>
  </si>
  <si>
    <t>PT Coordinator's Email/ Phone:</t>
  </si>
  <si>
    <t>Lab Code</t>
  </si>
  <si>
    <t>Laboratory Name</t>
  </si>
  <si>
    <t>10 kg  to 1 mg</t>
  </si>
  <si>
    <t>Kiara Saunders</t>
  </si>
  <si>
    <t>(775) 353-3794</t>
  </si>
  <si>
    <t>kriske@agri.nv.gov</t>
  </si>
  <si>
    <t>Nicholas Santini</t>
  </si>
  <si>
    <t>santinin@michigan.gov</t>
  </si>
  <si>
    <t>(517) 655-7229</t>
  </si>
  <si>
    <t>(575) 646-1551</t>
  </si>
  <si>
    <t>500 lb</t>
  </si>
  <si>
    <t>ASTM Class 2</t>
  </si>
  <si>
    <t>OIML Class E2</t>
  </si>
  <si>
    <t>"M"</t>
  </si>
  <si>
    <t xml:space="preserve"> 0.0000265 / ° F</t>
  </si>
  <si>
    <t xml:space="preserve">OJT (On-Job-Training)  </t>
  </si>
  <si>
    <t>Advanced Mass Metrology seminar</t>
  </si>
  <si>
    <t>Volume Metrology seminar</t>
  </si>
  <si>
    <t>James Gownley</t>
  </si>
  <si>
    <t>Pennsylvania Standards Lab</t>
  </si>
  <si>
    <t>jgownley@pa.gov</t>
  </si>
  <si>
    <t>717-787-4707</t>
  </si>
  <si>
    <t xml:space="preserve">civey@nmda.nmsu.edu </t>
  </si>
  <si>
    <t xml:space="preserve">Michael.Tang@hawaii.gov  </t>
  </si>
  <si>
    <t>John Abasto</t>
  </si>
  <si>
    <t>john.f.abasto@agr.nh.gov</t>
  </si>
  <si>
    <t>603-271-0894</t>
  </si>
  <si>
    <t>NEMAP/Pennsylvania Standards Lab</t>
  </si>
  <si>
    <t>NEMAP/New Hampshire</t>
  </si>
  <si>
    <t>OIML Class F1</t>
  </si>
  <si>
    <t>Metric Weight</t>
  </si>
  <si>
    <t>Fundamentals of Metrology</t>
  </si>
  <si>
    <t>Federal Lab</t>
  </si>
  <si>
    <t xml:space="preserve">Charles.Brown
</t>
  </si>
  <si>
    <t>Charles.Brown@abbott.com</t>
  </si>
  <si>
    <t>224-668-9146</t>
  </si>
  <si>
    <t>Waukegan</t>
  </si>
  <si>
    <t>Montgomery</t>
  </si>
  <si>
    <t>Alcami</t>
  </si>
  <si>
    <t>Christina Rasmuson</t>
  </si>
  <si>
    <t>Christina.Rasmuson@alceminow.com</t>
  </si>
  <si>
    <t>27 Lomar Park Drive</t>
  </si>
  <si>
    <t xml:space="preserve">Pepperil </t>
  </si>
  <si>
    <t>Kayla Hankins</t>
  </si>
  <si>
    <t>kayla.hankins@agriculture.arkansas.gov</t>
  </si>
  <si>
    <t>501.570.1159</t>
  </si>
  <si>
    <t>Little Rock</t>
  </si>
  <si>
    <t>72209-2408</t>
  </si>
  <si>
    <t>Kate Smetana</t>
  </si>
  <si>
    <t>kate.smetana@state.co.us</t>
  </si>
  <si>
    <t>303.869.9241</t>
  </si>
  <si>
    <t>Broomfield</t>
  </si>
  <si>
    <t>Jeremy Nading</t>
  </si>
  <si>
    <t>jnading@cmi-labs.com</t>
  </si>
  <si>
    <t>478-953-5171</t>
  </si>
  <si>
    <t>510 Houston Lake Blvd.</t>
  </si>
  <si>
    <t>Centerville</t>
  </si>
  <si>
    <t>Christopher David</t>
  </si>
  <si>
    <t>Christopher.David@connecticut.gov</t>
  </si>
  <si>
    <t>Windsor</t>
  </si>
  <si>
    <t>06095-4312</t>
  </si>
  <si>
    <t>1402 S Dakota St</t>
  </si>
  <si>
    <t>Indianapolis</t>
  </si>
  <si>
    <t>Essco</t>
  </si>
  <si>
    <t>Mike Olsen</t>
  </si>
  <si>
    <t>molsen@esscolab.com</t>
  </si>
  <si>
    <t>800-325-2201 ex130</t>
  </si>
  <si>
    <t>27 industrial avenue</t>
  </si>
  <si>
    <t>chelmsford</t>
  </si>
  <si>
    <t>Megan.Money@fdacs.gov</t>
  </si>
  <si>
    <t>Tallahassee</t>
  </si>
  <si>
    <t>Stan Diffie</t>
  </si>
  <si>
    <t>stan.diffie@agr.georgia.gov</t>
  </si>
  <si>
    <t>229-386-4120</t>
  </si>
  <si>
    <t>Tifton</t>
  </si>
  <si>
    <t>31794-8877</t>
  </si>
  <si>
    <t>HoneyWell</t>
  </si>
  <si>
    <t>Matthew Greef</t>
  </si>
  <si>
    <t>mgreeff@kcp.com</t>
  </si>
  <si>
    <t>14520 Botts Road, National Security Campus, Building 2
Care of Justin Gnad, Drop Bay 02.1.B04</t>
  </si>
  <si>
    <t>Kansas City</t>
  </si>
  <si>
    <t>64147-1302</t>
  </si>
  <si>
    <t>John Satterlee</t>
  </si>
  <si>
    <t>john.satterlee@illinois.gov</t>
  </si>
  <si>
    <t>217-785-8480</t>
  </si>
  <si>
    <t>Springfield</t>
  </si>
  <si>
    <t>William Geisler</t>
  </si>
  <si>
    <t>wgeisler@health.in.gov</t>
  </si>
  <si>
    <t>317-682-9028</t>
  </si>
  <si>
    <t>785.564.7447</t>
  </si>
  <si>
    <t>Manhatton</t>
  </si>
  <si>
    <t>Whitney Corley</t>
  </si>
  <si>
    <t>wcorley@ldaf.state.la.us</t>
  </si>
  <si>
    <t>225.922.1381</t>
  </si>
  <si>
    <t>Baton Rouge</t>
  </si>
  <si>
    <t>70806-4259</t>
  </si>
  <si>
    <t>Bradford.Bachelder@maine.gov</t>
  </si>
  <si>
    <t>Agusta</t>
  </si>
  <si>
    <t>Tong Hsu</t>
  </si>
  <si>
    <t>tong.hsu@maryland.gov</t>
  </si>
  <si>
    <t>410-841-5790</t>
  </si>
  <si>
    <t>Annapolis</t>
  </si>
  <si>
    <t>21401-8960</t>
  </si>
  <si>
    <t>Raymond Costa</t>
  </si>
  <si>
    <t>ray.costa@mass.gov</t>
  </si>
  <si>
    <t>617-947-7584</t>
  </si>
  <si>
    <t>Ashland</t>
  </si>
  <si>
    <t>Nick Santini</t>
  </si>
  <si>
    <t>517-655-7229</t>
  </si>
  <si>
    <t>Williamston</t>
  </si>
  <si>
    <t>Benj FitzRysler</t>
  </si>
  <si>
    <t>benjamin.fitzrysler@state.mn.us</t>
  </si>
  <si>
    <t>14305 Southcross Drive W
Suite 150</t>
  </si>
  <si>
    <t>Burnsville</t>
  </si>
  <si>
    <t>502-573-0282</t>
  </si>
  <si>
    <t>Lorman</t>
  </si>
  <si>
    <t>NBS</t>
  </si>
  <si>
    <t xml:space="preserve">Jacob Christianson </t>
  </si>
  <si>
    <t>jacobc@nbscalibrations.com</t>
  </si>
  <si>
    <t>800-722-5398</t>
  </si>
  <si>
    <t>9150 Isanti St. NE</t>
  </si>
  <si>
    <t>Blaine</t>
  </si>
  <si>
    <t>Joel Lavicky</t>
  </si>
  <si>
    <t>joel.lavicky@nebraska.gov</t>
  </si>
  <si>
    <t>402-471-2087</t>
  </si>
  <si>
    <t>Lincoln</t>
  </si>
  <si>
    <t>John.F.Abasto@agr.nh.gov</t>
  </si>
  <si>
    <t>Concord</t>
  </si>
  <si>
    <t>civey@nmda.nmsu.edu</t>
  </si>
  <si>
    <t>575.646.1551</t>
  </si>
  <si>
    <t>Las Cruces</t>
  </si>
  <si>
    <t>Michael LeJeune</t>
  </si>
  <si>
    <t>Michael.Lejeune@agriculture.ny.gov</t>
  </si>
  <si>
    <t>Albany</t>
  </si>
  <si>
    <t>Raleigh</t>
  </si>
  <si>
    <t>Oak Ridge</t>
  </si>
  <si>
    <t>614-728-6429</t>
  </si>
  <si>
    <t>Reynoldsburg</t>
  </si>
  <si>
    <t>William Krivanek</t>
  </si>
  <si>
    <t>william.krivanek@ag.ok.gov</t>
  </si>
  <si>
    <t>405.522.5459</t>
  </si>
  <si>
    <t>Oklahoma City</t>
  </si>
  <si>
    <t>Harrisburg</t>
  </si>
  <si>
    <t>Bradford Suggs</t>
  </si>
  <si>
    <t>braford.c.suggs.civ@army.mil</t>
  </si>
  <si>
    <t>AMAM-TMS Buildings 5435 and 5417
U.S. ARMY PRIMARY STANDARDS LABORATORY</t>
  </si>
  <si>
    <t>Redstone Arsenal</t>
  </si>
  <si>
    <t>35898-5000</t>
  </si>
  <si>
    <t>Dan Demers</t>
  </si>
  <si>
    <t>ddemers@ricelake.com</t>
  </si>
  <si>
    <t>715-234-9171</t>
  </si>
  <si>
    <t>230 W Coleman Street
Small Package Door E48</t>
  </si>
  <si>
    <t>Rice Lake</t>
  </si>
  <si>
    <t>Robert McGee</t>
  </si>
  <si>
    <t>robert.mcgee@srs.gov</t>
  </si>
  <si>
    <t>803-725-1131</t>
  </si>
  <si>
    <t>Building 736-A, 203 Laurens st sw
Savannah River Standards Lab</t>
  </si>
  <si>
    <t>Aiken</t>
  </si>
  <si>
    <t>29808-0001</t>
  </si>
  <si>
    <t>Timothy Jones</t>
  </si>
  <si>
    <t>tjones@scda.sc.gov</t>
  </si>
  <si>
    <t>803-253-4052</t>
  </si>
  <si>
    <t>West Columbia</t>
  </si>
  <si>
    <t>Ron Peterson</t>
  </si>
  <si>
    <t>ron.peterson@state.sd.us</t>
  </si>
  <si>
    <t>605-347-7541</t>
  </si>
  <si>
    <t>Sturgis</t>
  </si>
  <si>
    <t>Brian Sellers</t>
  </si>
  <si>
    <t>bsellers@azda.gov</t>
  </si>
  <si>
    <t>602.771.4938</t>
  </si>
  <si>
    <t>Glendale</t>
  </si>
  <si>
    <t>85302-3844</t>
  </si>
  <si>
    <t>Rong Zhang</t>
  </si>
  <si>
    <t>Rong.Zhang@tn.gov</t>
  </si>
  <si>
    <t>Nashville</t>
  </si>
  <si>
    <t>Lisa Corn</t>
  </si>
  <si>
    <t>lisa.corn@texasagriculture.gov</t>
  </si>
  <si>
    <t>979.542.3231</t>
  </si>
  <si>
    <t>Giddings</t>
  </si>
  <si>
    <t>Paul Vecchio</t>
  </si>
  <si>
    <t>paul.vecchio@troemner.com</t>
  </si>
  <si>
    <t>201 Wolf Drive</t>
  </si>
  <si>
    <t>West Deptford</t>
  </si>
  <si>
    <t>Scott Dolan</t>
  </si>
  <si>
    <t>scott.dolan@vermont.gov</t>
  </si>
  <si>
    <t>802-522-5415</t>
  </si>
  <si>
    <t>Randolph Center</t>
  </si>
  <si>
    <t>William Scott</t>
  </si>
  <si>
    <t>william.scott@vdacs.virginia.gov</t>
  </si>
  <si>
    <t>804-786-6799</t>
  </si>
  <si>
    <t>Richmond</t>
  </si>
  <si>
    <t>304-722-0605</t>
  </si>
  <si>
    <t>St. Albans</t>
  </si>
  <si>
    <t>25177-1795</t>
  </si>
  <si>
    <t>Justin Lien</t>
  </si>
  <si>
    <t>Justin.Lien@wisconsin.gov</t>
  </si>
  <si>
    <t>608-224-4913</t>
  </si>
  <si>
    <t>Madison</t>
  </si>
  <si>
    <t>Blake Layfield</t>
  </si>
  <si>
    <t>865-576-3519</t>
  </si>
  <si>
    <t>765 Perimeter Road</t>
  </si>
  <si>
    <t>Montana Bureau of Weights and Measures</t>
  </si>
  <si>
    <t>Alabama Weights and Measures Laboratory</t>
  </si>
  <si>
    <t xml:space="preserve">Shipping Address </t>
  </si>
  <si>
    <t>Alabama Weights and Measures Laboratory, Weights and Measures Laboratory, 1445 Federal Drive, Montgomery, AL 36107</t>
  </si>
  <si>
    <t>State of Alaska Metrology Laboratory</t>
  </si>
  <si>
    <t>State of Alaska Metrology Laboratory, 12050 Industry Way, Bldg "O" #6, Anchorage, AK 99515</t>
  </si>
  <si>
    <t>Arizona Department of Agriculture - Metrology Laboratory, 4425 West Olive Avenue, Suite 134, Glendale, AZ 85302-3844</t>
  </si>
  <si>
    <t>Arizona Department of Agriculture - Metrology Laboratory</t>
  </si>
  <si>
    <t>Arkansas Bureau of Standards</t>
  </si>
  <si>
    <t>Arkansas Bureau of Standards, 4608 W 61st Street, Little Rock, AR 72209-2408</t>
  </si>
  <si>
    <t>State of California Metrology Laboratory, Division of Measurement Standards, 6790 Florin Perkins Road, Suite 100, Sacramento, CA 95828</t>
  </si>
  <si>
    <t>State of California Metrology Laboratory</t>
  </si>
  <si>
    <t>(916) 229-3000</t>
  </si>
  <si>
    <t>Tony Gruneisen</t>
  </si>
  <si>
    <t>Colorado Department of Agriculture - Metrology Lab, 300 South Technology Court, Broomfield, CO 80021</t>
  </si>
  <si>
    <t>Colorado Department of Agriculture - Metrology Lab</t>
  </si>
  <si>
    <t>Connecticut Food and Standards Division</t>
  </si>
  <si>
    <t>Connecticut Food and Standards Division, Metrology Lab, 9 Windsor Avenue, Windsor, CT 06095-4312</t>
  </si>
  <si>
    <t>District of Columbia - Weights, Measures, and Markets Branch, 1110 U Street S.E., Washington, DC 20001</t>
  </si>
  <si>
    <t>Delaware Department of Agriculture, Weights and Measures Section, 2320 S. DuPont Highway Dover, DE 19901-5515</t>
  </si>
  <si>
    <t>Delaware Department of Agriculture</t>
  </si>
  <si>
    <t>Florida Metrology Laboratory, 3125 Conner Boulevard, Lab 2, Tallahassee, FL 32399</t>
  </si>
  <si>
    <t>Florida Metrology Laboratory</t>
  </si>
  <si>
    <t>Georgia Department of Agriculture Metrology Laboratory, 3150 U.S. Highway 41 South, Tifton, GA 31794</t>
  </si>
  <si>
    <t>Georgia Department of Agriculture Metrology Laboratory</t>
  </si>
  <si>
    <t>Hawaii Measurement Standards Laboratory, Quality Assurance Division, 1851 Auiki Street, Honolulu, HI 96819</t>
  </si>
  <si>
    <t>Hawaii Measurement Standards Laboratory</t>
  </si>
  <si>
    <t>Idaho Weights &amp; Measures Metrology Laboratory, 2216 Kellogg Lane, Boise, ID 83712-8265</t>
  </si>
  <si>
    <t>Idaho Weights &amp; Measures Metrology Laboratory</t>
  </si>
  <si>
    <t>Illinois Department of Agriculture, Bureau of Weights and Measures Metrology Laboratory, 801 Sangamon Avenue East, Springfield, IL 62702-9281</t>
  </si>
  <si>
    <t>Illinois Department of Agriculture</t>
  </si>
  <si>
    <t>Indiana State Department of Health</t>
  </si>
  <si>
    <t>Indiana State Department of Health, Weights and Measures Laboratory,  2525 North Shadeland Avenue Building 30 Suite D3, Indianapolis, IN 46219-1791</t>
  </si>
  <si>
    <t>Iowa Department of Agriculture &amp; Land Stewardship, 2230 South Ankeny Boulevard, Ankeny, IA 50023</t>
  </si>
  <si>
    <t>Iowa Department of Agriculture &amp; Land Stewardship</t>
  </si>
  <si>
    <t>Kansas Metrology Laboratory, 2004 Research Park Circle, Manhattan, KS 66502</t>
  </si>
  <si>
    <t>Kansas Metrology Laboratory</t>
  </si>
  <si>
    <t>Kentucky Regulations and Inspections, 107 Corporate Drive, Frankfort, KY 40601-8311</t>
  </si>
  <si>
    <t>Kentucky Regulations and Inspections</t>
  </si>
  <si>
    <t>Louisiana Department of Agriculture and Forestry, Metrology Laboratory, 5825 Florida Boulevard,, Baton Rouge, LA 70806-4259</t>
  </si>
  <si>
    <t>Louisiana Department of Agriculture and Forestry</t>
  </si>
  <si>
    <t>Massachusetts Division of Standards Metrology Laboratory, 250 Eliot Street, Suite 10-D, Ashland, MA 01721</t>
  </si>
  <si>
    <t>Massachusetts Division of Standards Metrology Laboratory</t>
  </si>
  <si>
    <t>Maryland Department of Agriculture - Weights and Measures Calibration Laboratory, 50 Harry S. Truman Parkway, Annapolis, MD 21401-8960</t>
  </si>
  <si>
    <t>Maryland Department of Agriculture</t>
  </si>
  <si>
    <t>Maine Metrology Laboratory, 333 Cony Road, Augusta, ME 04330</t>
  </si>
  <si>
    <t>Maine Metrology Laboratory</t>
  </si>
  <si>
    <t>Michigan Department of Agriculture and Rural Development, E.C. Heffron Metrology Laboratory, 940 Venture Lane, Williamston, MI 48895-9028</t>
  </si>
  <si>
    <t>Michigan Department of Agriculture and Rural Development</t>
  </si>
  <si>
    <t>Missouri Department of Agriculture, Weights, Measures &amp; Consumer Protection Division, Metrology Laboratory, 1616 Missouri Boulevard, Jefferson City, MO 65109</t>
  </si>
  <si>
    <t>Missouri Department of Agriculture</t>
  </si>
  <si>
    <t>Mississippi Department of Agriculture &amp; Commerce, Metrology Lab, 1000-A ASU Drive, Bldg #10, Lorman, MS 39096</t>
  </si>
  <si>
    <t>Mississippi Department of Agriculture &amp; Commerce</t>
  </si>
  <si>
    <t>Montana Bureau of Weights and Measures, 3806 US-12 / 287, East Helena, MT 59635</t>
  </si>
  <si>
    <t>North Carolina Department of Agriculture and Consumer Services, Standards Laboratory, 4400 Reedy Creek Road, Raleigh, NC 27607</t>
  </si>
  <si>
    <t>North Carolina Department of Agriculture and Consumer Services</t>
  </si>
  <si>
    <t>North Dakota Public Service Commission</t>
  </si>
  <si>
    <t>North Dakota Public Service Commission, 605 E. Boulevard Avenue - Dept. 408, State Capitol 12th Floor, Bismark, ND 58505-0480</t>
  </si>
  <si>
    <t>Nebraska Standards Laboratory, 3721 West Cuming Street, Lincoln, NE 68524</t>
  </si>
  <si>
    <t>Nebraska Standards Laboratory</t>
  </si>
  <si>
    <t>New Hampshire Metrology Laboratory, 25 Capitol Street, Room 31, Concord, NH 03301</t>
  </si>
  <si>
    <t>New Hampshire Metrology Laboratory</t>
  </si>
  <si>
    <t>State of New Jersey - Office of Weights and Measures, Metrology Laboratory</t>
  </si>
  <si>
    <t>State of New Jersey - Office of Weights and Measures, Metrology Laboratory, 1261 Routes 1 &amp; 9 South, Avenel, NJ 07001-1647</t>
  </si>
  <si>
    <t>New Mexico Department of Agriculture</t>
  </si>
  <si>
    <t>New Mexico Department of Agriculture, Standards and Consumer Services, 973 Agriculture Way, Las Cruces, NM 88003</t>
  </si>
  <si>
    <t>State of Nevada Metrology Laboratory</t>
  </si>
  <si>
    <t>metrology@agri.nv.gov</t>
  </si>
  <si>
    <t>(775) 353-3788</t>
  </si>
  <si>
    <t>James Kellames</t>
  </si>
  <si>
    <t>New York State Bureau of Weights and Measures, 6 Harriman Campus Road, Albany, NY 12206</t>
  </si>
  <si>
    <t>New York State Bureau of Weights and Measures</t>
  </si>
  <si>
    <t>Ohio Department of Agriculture, 8995 East Main Street, Bldg 5, Reynoldsburg, OH 43068-3398</t>
  </si>
  <si>
    <t>Ohio Department of Agriculture</t>
  </si>
  <si>
    <t>Oklahoma Bureau of Standards, 2800 North Lincoln Boulevard, Oklahoma City, OK 73105</t>
  </si>
  <si>
    <t>Oklahoma Bureau of Standards</t>
  </si>
  <si>
    <t>Pennsylvania Standards Lab, 2221 Forster Street, Rm G-44A, Harrisburg, PA 17125</t>
  </si>
  <si>
    <t>Puerto Rico Department of Consumer Affairs, 140 Federico Costas Street, San Juan, PR 00918</t>
  </si>
  <si>
    <t>Puerto Rico Department of Consumer Affairs</t>
  </si>
  <si>
    <t>Rhode Island Department of Labor</t>
  </si>
  <si>
    <t>Rhode Island Department of Labor, 610 Manton Avenue, Providence, RI 02909</t>
  </si>
  <si>
    <t>South Carolina Department of Agriculture, D. Leslie Tindal Metrology Laboratory, 129 Ballard Court, West Columbia, SC 29172</t>
  </si>
  <si>
    <t>South Carolina Department of Agriculture,</t>
  </si>
  <si>
    <t>South Dakota State Metrology Laboratory, 1100 Otter Road, Building D, Sturgis, SD 57785</t>
  </si>
  <si>
    <t>South Dakota State Metrology Laboratory</t>
  </si>
  <si>
    <t>Tennessee Department of Agriculture, Julius T. Johnson Metrology Laboratory, Ellington Agriculture Center, 5203 Marchant Drive, Nashville, TN 37204</t>
  </si>
  <si>
    <t>Tennessee Department of Agriculture</t>
  </si>
  <si>
    <t>Texas Department of Agriculture, Giddings Metrology Laboratory, 1258 CR 226, Giddings, TX 78942</t>
  </si>
  <si>
    <t>Texas Department of Agriculture</t>
  </si>
  <si>
    <t>Utah Metrology Laboratory, 4315 S 2700 W, TSOB South Bldg, Floor 2, Taylorsville, UT 84129-2128</t>
  </si>
  <si>
    <t>Utah Metrology Laboratory</t>
  </si>
  <si>
    <t>Virginia Department of Agriculture, Metrology Laboratory, 600 North 4th Street, Richmond, VA 23219</t>
  </si>
  <si>
    <t>Virginia Department of Agriculture</t>
  </si>
  <si>
    <t>VI Department of Licensing and Consumer Affairs, Golden Rock Shopping Center, Christiansted, St. Croix, VI</t>
  </si>
  <si>
    <t>Virgin Islands Department of Licensing and Consumer Affair</t>
  </si>
  <si>
    <t>State of Vermont Metrology Laboratory, 163 Administration Drive, Randolph Center, VT 05061</t>
  </si>
  <si>
    <t>State of Vermont Metrology Laboratory</t>
  </si>
  <si>
    <t>WA State Department of Agriculture (WSDA), Metrology Laboratory, 2747 29th Avenue SW, Ste B, Tumwater, WA 98512-6104</t>
  </si>
  <si>
    <t>Washington State Department of Agriculture</t>
  </si>
  <si>
    <t>Wisconsin Weights and Measures Laboratory, 3601 Galleon Run, Madison, WI 53718-6921</t>
  </si>
  <si>
    <t>Wisconsin Weights and Measures Laboratory</t>
  </si>
  <si>
    <t>West Virginia Division of Labor, Weights &amp; Measures, Metrology Laboratory, WV Weights &amp; Measures, 570 McCorkle Avenue SW, St. Albans, WV 25177-1795</t>
  </si>
  <si>
    <t>West Virginia Division of Labor, Weights &amp; Measures</t>
  </si>
  <si>
    <t>Wyoming Department of Agriculture, 6607 Campstool Road, Cheyenne, WY 82002</t>
  </si>
  <si>
    <t>Wyoming Department of Agriculture</t>
  </si>
  <si>
    <t>Los Angeles County Department of Agriculture</t>
  </si>
  <si>
    <t>Los Angeles County Department of Agriculture, Weights and Measures Metrology Laboratory, 11012 Garfield Avenue, South Gate, CA 90280-7504</t>
  </si>
  <si>
    <t>U.S. Department of Agriculture, Agricultural Marketing Service, Federal Grain Inspection Service (USDA, AMS, FGIS)</t>
  </si>
  <si>
    <t>USDA/AMS/FGIS, Master Scale Depot, 5800 West 69th Street, Chicago, IL 60638</t>
  </si>
  <si>
    <t>(708) 514-9043</t>
  </si>
  <si>
    <t>oscar.kc.porter@usda.gov</t>
  </si>
  <si>
    <t>Oscar Porter</t>
  </si>
  <si>
    <t>ABL</t>
  </si>
  <si>
    <t>ASS</t>
  </si>
  <si>
    <t>ATS</t>
  </si>
  <si>
    <t>BBS</t>
  </si>
  <si>
    <t>ABI</t>
  </si>
  <si>
    <t>Absolute Weighing Inc.</t>
  </si>
  <si>
    <t>CPE</t>
  </si>
  <si>
    <t>DOR</t>
  </si>
  <si>
    <t>Duke Energy Corporation</t>
  </si>
  <si>
    <t>DEC</t>
  </si>
  <si>
    <t>Eli Lilly and Company</t>
  </si>
  <si>
    <t>ELC</t>
  </si>
  <si>
    <t>Empire Scale Corporation</t>
  </si>
  <si>
    <t>ESS</t>
  </si>
  <si>
    <t>Edgerton, Germeshausen, and Grier, Inc</t>
  </si>
  <si>
    <t>Rice Lake Weighing System (formerly Heusser Neweigh)</t>
  </si>
  <si>
    <t>Lockheed Martin Corporation</t>
  </si>
  <si>
    <t>LMC</t>
  </si>
  <si>
    <t>MTO</t>
  </si>
  <si>
    <t>MCN</t>
  </si>
  <si>
    <t>PSI</t>
  </si>
  <si>
    <t>SPS</t>
  </si>
  <si>
    <t>ALC</t>
  </si>
  <si>
    <t>Artifact Description and Ownership</t>
  </si>
  <si>
    <t>16004-4 (NIST tag: 539857)</t>
  </si>
  <si>
    <t xml:space="preserve">"J" </t>
  </si>
  <si>
    <t>Rice Lake Weighing Instruments</t>
  </si>
  <si>
    <t>SN 179367 (NIST Tag 596649)</t>
  </si>
  <si>
    <t>0.0000265 / °F</t>
  </si>
  <si>
    <t>Neck graduation</t>
  </si>
  <si>
    <t>1 in³ &amp; 20 mL</t>
  </si>
  <si>
    <t>ASTM Class 6</t>
  </si>
  <si>
    <t>Glass Flask (1 quart)</t>
  </si>
  <si>
    <t>10 lb and 5 lb weights</t>
  </si>
  <si>
    <t>10 lb &amp; 5 lb</t>
  </si>
  <si>
    <t>18 in Steel Ruler</t>
  </si>
  <si>
    <t>Metric Precision Weights kit (1 kg to 1 mg)</t>
  </si>
  <si>
    <t>Metric Precision Weights kit (100 g to 1 mg)</t>
  </si>
  <si>
    <t>Test measure (5 gal)</t>
  </si>
  <si>
    <t>Trailer mounted prover (100 gal)</t>
  </si>
  <si>
    <t>Sensitive Neck Prover (15 gal)</t>
  </si>
  <si>
    <t>ASTM Class 3 used as Class F, very low susceptibility to magnetism)</t>
  </si>
  <si>
    <t>Metric Weight Set (5 kg to 1 mg)</t>
  </si>
  <si>
    <t>US Mass III Weight Set (10 lb to 1/32 oz)</t>
  </si>
  <si>
    <t>Slicker (5 gal)</t>
  </si>
  <si>
    <t>Metric Precision Weights Kit (100 g to 1 mg)</t>
  </si>
  <si>
    <t>Metric Weight (1 kg)</t>
  </si>
  <si>
    <t>US Mass III weights (50 lb &amp; 10 lb SS)</t>
  </si>
  <si>
    <t>Test Weight (10 lb)</t>
  </si>
  <si>
    <t>US Customary Flask (32 oz)</t>
  </si>
  <si>
    <t>Metric Weights set (Decades)</t>
  </si>
  <si>
    <t>Test Measure (5 gal)</t>
  </si>
  <si>
    <t>NH 001204 (Tag 7437)</t>
  </si>
  <si>
    <t>US Mass I weights set (0.5 lb to 0.001 lb)</t>
  </si>
  <si>
    <t>7.84 g/cm³</t>
  </si>
  <si>
    <t>7.84 g/cm³ (10 kg to 1 g);  7.95 g/cm³(500 mg to 1 mg)</t>
  </si>
  <si>
    <t>7.84 g/cm³ (5 kg to 1 g ); 7.95 g/cm³ (500 mg to 10 mg)</t>
  </si>
  <si>
    <t>7.84 g/cm³ (10 kg to 1 g ); 7.95 g/cm³ (500 mg to 10 mg)</t>
  </si>
  <si>
    <t>7.84 g/cm³ (1 kg to 1 g ); 7.95 g/cm³ (500 mg to 10 mg)</t>
  </si>
  <si>
    <t>Shipping Address:</t>
  </si>
  <si>
    <t xml:space="preserve">Colorado Department of Agriculture </t>
  </si>
  <si>
    <t xml:space="preserve">WA State Department of Agriculture </t>
  </si>
  <si>
    <t>Rice Lake Weighing Systems (formely Heusser Neweigh)</t>
  </si>
  <si>
    <t>Laboratory/ Organization</t>
  </si>
  <si>
    <t>Slicker Plate Standard</t>
  </si>
  <si>
    <t>Stop Watch</t>
  </si>
  <si>
    <t>Glassware</t>
  </si>
  <si>
    <t>Equipment Types</t>
  </si>
  <si>
    <t>Metric Precision Weight Kit</t>
  </si>
  <si>
    <t>Metric Field Weight Kit</t>
  </si>
  <si>
    <t>Avd Field Weight Kit</t>
  </si>
  <si>
    <t>Avd Precision Weight Kit</t>
  </si>
  <si>
    <t>LPG Prover</t>
  </si>
  <si>
    <t>Open Neck Prover</t>
  </si>
  <si>
    <t>Slicker Plate Standard (5 gal)</t>
  </si>
  <si>
    <t>Metric Weights Kit (5 kg to 1 mg)</t>
  </si>
  <si>
    <t>Metric Mass III Cast Iron Weight (20 kg)</t>
  </si>
  <si>
    <t>Cast Iron weight (50 lb)</t>
  </si>
  <si>
    <t>Stainless steel polished weight (10 kg)</t>
  </si>
  <si>
    <t>Submission of Results/ Certificates:</t>
  </si>
  <si>
    <t>Participant ID</t>
  </si>
  <si>
    <r>
      <t xml:space="preserve">Added the Software-V&amp;V tab;
Added "(Procedure: SAP 6)" to Cells B35 and B42 in worksheet "P4; Addresses &amp; Contacts";
Reviewed Form F08 in worksheet "Receipt Form F08";
Updated "QMS References" worksheet to include PTP-01 (replacing SOP 1, as per recent internal audits), Forms  F02 and F08, and SAP 6;
Changed "PT Program" in Cell F4 in "R1; PT Report Cover" tab to "Proficiency Testing Services"  
Deleted "Name Printed Here," in cell B83 in "R1; PT Report Cover" tab;
Replaced </t>
    </r>
    <r>
      <rPr>
        <i/>
        <sz val="11"/>
        <color theme="1"/>
        <rFont val="Calibri"/>
        <family val="2"/>
        <scheme val="minor"/>
      </rPr>
      <t>SOP</t>
    </r>
    <r>
      <rPr>
        <sz val="11"/>
        <color theme="1"/>
        <rFont val="Calibri"/>
        <family val="2"/>
        <scheme val="minor"/>
      </rPr>
      <t xml:space="preserve"> and </t>
    </r>
    <r>
      <rPr>
        <i/>
        <sz val="11"/>
        <color theme="1"/>
        <rFont val="Calibri"/>
        <family val="2"/>
        <scheme val="minor"/>
      </rPr>
      <t>OWM Supplemental Report</t>
    </r>
    <r>
      <rPr>
        <sz val="11"/>
        <color theme="1"/>
        <rFont val="Calibri"/>
        <family val="2"/>
        <scheme val="minor"/>
      </rPr>
      <t xml:space="preserve"> in PR Report template with  </t>
    </r>
    <r>
      <rPr>
        <i/>
        <sz val="11"/>
        <color theme="1"/>
        <rFont val="Calibri"/>
        <family val="2"/>
        <scheme val="minor"/>
      </rPr>
      <t>PTP 1</t>
    </r>
    <r>
      <rPr>
        <sz val="11"/>
        <color theme="1"/>
        <rFont val="Calibri"/>
        <family val="2"/>
        <scheme val="minor"/>
      </rPr>
      <t xml:space="preserve"> and </t>
    </r>
    <r>
      <rPr>
        <i/>
        <sz val="11"/>
        <color theme="1"/>
        <rFont val="Calibri"/>
        <family val="2"/>
        <scheme val="minor"/>
      </rPr>
      <t>PT Guides</t>
    </r>
    <r>
      <rPr>
        <sz val="11"/>
        <color theme="1"/>
        <rFont val="Calibri"/>
        <family val="2"/>
        <scheme val="minor"/>
      </rPr>
      <t xml:space="preserve">, respectively;
Added ": owm@nist.gov" in cell A85 in "R1; PT Report Cover" tab.
Changed "Good Laboratory Practice (GLP) for follow-up" in cell A67  in "R1; PT Report Cover" tab to "Guide for PT follow-up and performance monitoring (PTG 2)";
Added "LookupTable" tab, in which all look-up tables and all important references are introduced, compiled/updated;
Added dropdown menu for cells D32:D181 and G32:G181 in "P1;Organize the PT" tab;
Added rows 47, 75 &amp; 76, and added SOPs dropdown menu for cells B73:B76 in "P1;Organize the PT" tab;
Renamed "SOP Outline" tab to "PTP1 Outline;
Added Row 7 "PT Coordinator's Email/ Phone:" in "P4; Addresses &amp; Contacts" tab and a function to autofill the details in cell B7; Added a function to autofill Columns D, E &amp; F in "O2; Coordinator Feedback" tab.
Added row 102 in "P2; Objectives &amp; Details" tab, and included details on "Submission of Results/ Certificates". </t>
    </r>
  </si>
  <si>
    <t>Procedure(s) Used:</t>
  </si>
  <si>
    <t>Add pictures of artifact and packaging.</t>
  </si>
  <si>
    <t>Add necessary details as necessary.</t>
  </si>
  <si>
    <t>(add necessary details)</t>
  </si>
  <si>
    <t>X</t>
  </si>
  <si>
    <t>OIML R111</t>
  </si>
  <si>
    <t>Michigan</t>
  </si>
  <si>
    <t>Maine</t>
  </si>
  <si>
    <t>New York</t>
  </si>
  <si>
    <t>Florida</t>
  </si>
  <si>
    <t>New Mexico</t>
  </si>
  <si>
    <t>Hawaii</t>
  </si>
  <si>
    <t>Nevada</t>
  </si>
  <si>
    <t>Tom Buck</t>
  </si>
  <si>
    <t>Tom.Buck@agri.ohio.gov</t>
  </si>
  <si>
    <t>Tory Brewer</t>
  </si>
  <si>
    <t>tory.d.brewer@wv.gov</t>
  </si>
  <si>
    <t>michael.bridges@agi.alabama.gov</t>
  </si>
  <si>
    <t>Michael Bridges</t>
  </si>
  <si>
    <t>anthony.gruneisen@cdfa.ca.gov</t>
  </si>
  <si>
    <t>Kevin Uphoff</t>
  </si>
  <si>
    <t>kevin.uphoff@ks.gov</t>
  </si>
  <si>
    <t>Jason Glass</t>
  </si>
  <si>
    <t>jason.glass@ky.gov</t>
  </si>
  <si>
    <t>40601-8311</t>
  </si>
  <si>
    <t>Frankfort</t>
  </si>
  <si>
    <t>John Bell</t>
  </si>
  <si>
    <t>Johnny.bell@mda.mo.gov</t>
  </si>
  <si>
    <t>573-751-3440</t>
  </si>
  <si>
    <t>Jefferson City</t>
  </si>
  <si>
    <t>Michael.Tang@Hawaii.gov</t>
  </si>
  <si>
    <t>Honolulu</t>
  </si>
  <si>
    <t>David Fraser</t>
  </si>
  <si>
    <t>dafraser@mt.gov</t>
  </si>
  <si>
    <t>406-461-4168</t>
  </si>
  <si>
    <t>Helena</t>
  </si>
  <si>
    <t>59620-0516</t>
  </si>
  <si>
    <t>cecerem@dca.njoag.gov</t>
  </si>
  <si>
    <t>Michael Cecere</t>
  </si>
  <si>
    <t>732-621-2554</t>
  </si>
  <si>
    <t>Avenel</t>
  </si>
  <si>
    <t>07001-1647</t>
  </si>
  <si>
    <t>Aaron Aydelotte</t>
  </si>
  <si>
    <t>aaron.aydelotte@oda.oregon.gov</t>
  </si>
  <si>
    <t>503-986-4669</t>
  </si>
  <si>
    <t>Salem</t>
  </si>
  <si>
    <t>97301-2532</t>
  </si>
  <si>
    <t>Bill Rigby</t>
  </si>
  <si>
    <t>brigby@utah.gov</t>
  </si>
  <si>
    <t>801-982-2267</t>
  </si>
  <si>
    <t>Taylorsville</t>
  </si>
  <si>
    <t>Leslie German</t>
  </si>
  <si>
    <t>lgerman@agr.wa.gov</t>
  </si>
  <si>
    <t>360-764-0199</t>
  </si>
  <si>
    <t>Olympia</t>
  </si>
  <si>
    <t>Robert Weidler</t>
  </si>
  <si>
    <t>robert.weidler@wyo.gov</t>
  </si>
  <si>
    <t>307-777-7556</t>
  </si>
  <si>
    <t>Cheyenne</t>
  </si>
  <si>
    <t>Lina Ng</t>
  </si>
  <si>
    <t>562-622-0419</t>
  </si>
  <si>
    <t>lng@acwm.lacounty.gov</t>
  </si>
  <si>
    <t>South Gate</t>
  </si>
  <si>
    <t>90280-7504</t>
  </si>
  <si>
    <t>David Wingo</t>
  </si>
  <si>
    <t>dwingo@ricelake.com</t>
  </si>
  <si>
    <t>925-798-8900</t>
  </si>
  <si>
    <t>1400 Willow Pass Rd</t>
  </si>
  <si>
    <t>- All participants should follow the Guide for PT follow-up and performance monitoring (PTG 2) to further analyze this PT data with laboratory measurement assurance data, monitor results for trends, and evaluate marginal or failing data further.  All statistical analyses that indicate failing results require corrective action. State laboratories are required to complete a PT Follow-up Form for each PT.
- OWM PT Guide 1 (PTG 1) should be used to interpret pass/fail criteria and statistical analyses.</t>
  </si>
  <si>
    <t>If you find errors, have feedback, questions or have suggestions on improvements, send an email to NIST Office of Weights and Measures, Laboratory Metrology Group: micheal.hicks@nist.gov, elizabeth.koncki@nist.gov.</t>
  </si>
  <si>
    <t>travis.garding@alaska.gov</t>
  </si>
  <si>
    <t>Travis Garding</t>
  </si>
  <si>
    <t>907-365-1222</t>
  </si>
  <si>
    <t>Anchorage</t>
  </si>
  <si>
    <t>5 gal Special J</t>
  </si>
  <si>
    <t>E3</t>
  </si>
  <si>
    <t>Sacramento</t>
  </si>
  <si>
    <t>David Bennett</t>
  </si>
  <si>
    <t>david.bennet@isda.idaho.gov</t>
  </si>
  <si>
    <t>208-332-8691</t>
  </si>
  <si>
    <t>Boise</t>
  </si>
  <si>
    <t>Sparks</t>
  </si>
  <si>
    <t>State of Nevada Metrology Laboratory, 2150 Frazer Avenue, Sparks, NV 89431</t>
  </si>
  <si>
    <t>Chicago</t>
  </si>
  <si>
    <t>Abner Rodriguez-Velentin</t>
  </si>
  <si>
    <t>abrodriguez@daco.gobierno.pr</t>
  </si>
  <si>
    <t>787-725-4414</t>
  </si>
  <si>
    <t>San Juan</t>
  </si>
  <si>
    <t>David Thompson</t>
  </si>
  <si>
    <t>dthompson@qc-services.com</t>
  </si>
  <si>
    <t>Mollie Wilson</t>
  </si>
  <si>
    <t>mowilson@premierscales.com</t>
  </si>
  <si>
    <t>812-422-9838</t>
  </si>
  <si>
    <t>4901 N. St. Joseph Avenue</t>
  </si>
  <si>
    <t>Evansville</t>
  </si>
  <si>
    <t xml:space="preserve">2 mg weight loss in SEMAP-25-MIII-M-01 </t>
  </si>
  <si>
    <t>334-240-7138</t>
  </si>
  <si>
    <t>North Carolina Department of Agriculture and Consumer Services, Metrology Laboratory, 4400 Reedy Creek Road, Raleigh, NC 27607</t>
  </si>
  <si>
    <t>layfieldbd@ornl.gov</t>
  </si>
  <si>
    <t>Oak Ridge Metrology Center Y-12</t>
  </si>
  <si>
    <t xml:space="preserve">Oak Ridge National Labs X10 </t>
  </si>
  <si>
    <t>Braden Wilkinson</t>
  </si>
  <si>
    <t>865-241-2753</t>
  </si>
  <si>
    <t>1 Bethel Valley Road</t>
  </si>
  <si>
    <t>Atrifacts are cylindrical showing no signs of wear in excellent shape</t>
  </si>
  <si>
    <t xml:space="preserve">OIML E2 weight set </t>
  </si>
  <si>
    <t>5 kg to 100 g</t>
  </si>
  <si>
    <t>8.0 g/cm³ 
Borrowed 3 kg @7.95 g/cm³</t>
  </si>
  <si>
    <t>Ohio Metrology Laboratory (The 3 kg weight is owned by the Minnesota lab)</t>
  </si>
  <si>
    <t>Tom Buck and Anna Pierce for the 3 kg weight</t>
  </si>
  <si>
    <t>tom.buck@agri.ohio.gov</t>
  </si>
  <si>
    <t>614-728-6290</t>
  </si>
  <si>
    <t>8995 E Main St, Building 5</t>
  </si>
  <si>
    <t>Coast to Coast (Northern Balance and Scales)</t>
  </si>
  <si>
    <t xml:space="preserve">AP52N Metrology / Rutherford
Abbott Laboratories
3561 Burwood Drive - Dock 3
</t>
  </si>
  <si>
    <t>HON</t>
  </si>
  <si>
    <t>0.5 in³</t>
  </si>
  <si>
    <t>0.25 in³</t>
  </si>
  <si>
    <t>Douglas Waz</t>
  </si>
  <si>
    <t>waz@lanl.gov</t>
  </si>
  <si>
    <t>Bikini Atoll Rd bldg. SM 30
TA 3, bldg. 39</t>
  </si>
  <si>
    <t>Los Alamos</t>
  </si>
  <si>
    <t>Oregon Department of Agriculture (non-palletized items only)</t>
  </si>
  <si>
    <t>Oregon Department of Agriculture, Weights and Measures Program, 635 Capitol Street NE, Suite 100, Salem, OR 97301-2532151 
Shipping address for palletized PT items:
Oregon Department of Agriculture, Weights and Measures Program, 151 Hawthorne Avenue, NE, Salem, OR 97301</t>
  </si>
  <si>
    <t>250 kg cast iron mass standard</t>
  </si>
  <si>
    <t>Minnesota Weights and Measures</t>
  </si>
  <si>
    <t>14305 Southcross Drive #150</t>
  </si>
  <si>
    <t>Brunsville</t>
  </si>
  <si>
    <t>To be moved and transferred by lab truck</t>
  </si>
  <si>
    <t>S (IN)</t>
  </si>
  <si>
    <t>50 lb SS weight from Indiana</t>
  </si>
  <si>
    <t>Indiana Weights and Measures</t>
  </si>
  <si>
    <t>Howard Wickersham</t>
  </si>
  <si>
    <t>(317) 356-7078</t>
  </si>
  <si>
    <t>2525 N Shadeland Avenue, D3</t>
  </si>
  <si>
    <t>Mass Metrology seminar</t>
  </si>
  <si>
    <t>Sharon Woodard</t>
  </si>
  <si>
    <t>984) 236-4802</t>
  </si>
  <si>
    <t>Sharon.Woodard@ncagr.gov</t>
  </si>
  <si>
    <t>gene@mdac.ms.gov</t>
  </si>
  <si>
    <t>Gene Robertson</t>
  </si>
  <si>
    <t>5777 SE International Way</t>
  </si>
  <si>
    <t>Milwaukie</t>
  </si>
  <si>
    <t>800-843-1237 x3090</t>
  </si>
  <si>
    <t>25 kg Mass III Cast Iron Weight</t>
  </si>
  <si>
    <t>25 kg</t>
  </si>
  <si>
    <t>7.2 g/cm³</t>
  </si>
  <si>
    <t>bradford.bachelder@maine.gov</t>
  </si>
  <si>
    <t>333 Cony Rd</t>
  </si>
  <si>
    <t>Augusta</t>
  </si>
  <si>
    <t>04330</t>
  </si>
  <si>
    <t>7.95 g/cm³ (100 g to 10 mg ); 2.7 g/cm³ (5 mg to 1 mg)</t>
  </si>
  <si>
    <t>william.wilkinson@y12nsc.doe.gov</t>
  </si>
  <si>
    <t>Follow Link to share Feedback with NIST OWM:</t>
  </si>
  <si>
    <t xml:space="preserve">https://docs.google.com/forms/d/e/1FAIpQLSeqO908_b1G689uCDeUFEnsSqf132wDT2Iz5nfuuQxcF-ro2Q/viewform?usp=header </t>
  </si>
  <si>
    <t xml:space="preserve">(717) 787-4707 </t>
  </si>
  <si>
    <t>Form PTF01:</t>
  </si>
  <si>
    <t>Form PTF02:</t>
  </si>
  <si>
    <t>Form PTF08:</t>
  </si>
  <si>
    <t xml:space="preserve">PT feedback form </t>
  </si>
  <si>
    <t>https://forms.gle/3JRdxyeWovfmMdFRA</t>
  </si>
  <si>
    <t>Jeff Andrews</t>
  </si>
  <si>
    <t>andrews_jeffrey_ja@lilly.com</t>
  </si>
  <si>
    <t>317-668-8059</t>
  </si>
  <si>
    <t>PA0009998</t>
  </si>
  <si>
    <t>Stopwatch</t>
  </si>
  <si>
    <t>Robic</t>
  </si>
  <si>
    <t>SC-808</t>
  </si>
  <si>
    <t>Jim Gownley</t>
  </si>
  <si>
    <t>(717) 787 - 0937</t>
  </si>
  <si>
    <t xml:space="preserve">2221 Forster Street Room G-44A </t>
  </si>
  <si>
    <t xml:space="preserve">Harrisburg </t>
  </si>
  <si>
    <t>00-60-768</t>
  </si>
  <si>
    <t>Accusplit</t>
  </si>
  <si>
    <t>AX605</t>
  </si>
  <si>
    <t>California Department of Food and Agriculture Division of Measurement Standards</t>
  </si>
  <si>
    <t>(916) 798-2121</t>
  </si>
  <si>
    <t>6790 Florin Perkins Road, Suite 100</t>
  </si>
  <si>
    <r>
      <t>· The OWM operating procedure for PT Planning, Operating, Analyzing, and Reporting PT Results (PTP 1) was used with the OWM PT Program Excel templates for planning, operating, analyzing, and reporting PTs. 
· Robust statistical tools were used and are consistent with ISO/IEC 17043:2023 and ISO 13528:2022 and are used to assign reference values and associated uncertainties for each standard artifact in the PT. 
· Standard analyses provided in each PT include evaluation of: bias, normalized error (</t>
    </r>
    <r>
      <rPr>
        <i/>
        <sz val="11"/>
        <rFont val="Calibri"/>
        <family val="2"/>
        <scheme val="minor"/>
      </rPr>
      <t>E</t>
    </r>
    <r>
      <rPr>
        <i/>
        <vertAlign val="subscript"/>
        <sz val="11"/>
        <rFont val="Calibri"/>
        <family val="2"/>
        <scheme val="minor"/>
      </rPr>
      <t>n</t>
    </r>
    <r>
      <rPr>
        <sz val="11"/>
        <rFont val="Calibri"/>
        <family val="2"/>
        <scheme val="minor"/>
      </rPr>
      <t>), normalized precision (</t>
    </r>
    <r>
      <rPr>
        <i/>
        <sz val="11"/>
        <rFont val="Calibri"/>
        <family val="2"/>
        <scheme val="minor"/>
      </rPr>
      <t>P</t>
    </r>
    <r>
      <rPr>
        <i/>
        <vertAlign val="subscript"/>
        <sz val="11"/>
        <rFont val="Calibri"/>
        <family val="2"/>
        <scheme val="minor"/>
      </rPr>
      <t>n</t>
    </r>
    <r>
      <rPr>
        <sz val="11"/>
        <rFont val="Calibri"/>
        <family val="2"/>
        <scheme val="minor"/>
      </rPr>
      <t xml:space="preserve">) and </t>
    </r>
    <r>
      <rPr>
        <i/>
        <sz val="11"/>
        <rFont val="Calibri"/>
        <family val="2"/>
        <scheme val="minor"/>
      </rPr>
      <t xml:space="preserve">Z </t>
    </r>
    <r>
      <rPr>
        <sz val="11"/>
        <rFont val="Calibri"/>
        <family val="2"/>
        <scheme val="minor"/>
      </rPr>
      <t>values.  
· Summary tables, graphs, and statistical results follow and are created from the PT Analysis templates. 
· The OWM PT Guide 1 (PTG 1) provides additional information regarding the analysis of the participant results. 
- NIST OWM performs all final data analysis for PT reports.</t>
    </r>
  </si>
  <si>
    <t>Use Link to share Feedback with NIST OWM:</t>
  </si>
  <si>
    <t>M. Hicks</t>
  </si>
  <si>
    <t xml:space="preserve">Added Feedback links for users to use to provide feedback to OWM PT program. On report page, clearly stated OWM provides final decision on data analysis. Updated LookupTables to include artifacts supplied by participating laboratories.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</si>
</sst>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164" formatCode="_(&quot;$&quot;* #,##0_);_(&quot;$&quot;* \(#,##0\);_(&quot;$&quot;* &quot;-&quot;??_);_(@_)"/>
    <numFmt numFmtId="165" formatCode="yyyy\-mm\-dd"/>
    <numFmt numFmtId="166" formatCode="00000"/>
    <numFmt numFmtId="167" formatCode="[$-F800]dddd\,\ mmmm\ dd\,\ yyyy"/>
    <numFmt numFmtId="168" formatCode="General_)"/>
    <numFmt numFmtId="169" formatCode="@*_"/>
    <numFmt numFmtId="170" formatCode="yyyymmdd"/>
    <numFmt numFmtId="171" formatCode="yyyy\-mm\-dd;@"/>
  </numFmts>
  <fonts count="66" x14ac:knownFonts="1">
    <font>
      <sz val="11"/>
      <color theme="1"/>
      <name val="Calibri"/>
      <family val="2"/>
      <scheme val="minor"/>
    </font>
    <font>
      <sz val="11"/>
      <color rgb="FFFF0000"/>
      <name val="Calibri"/>
      <family val="2"/>
      <scheme val="minor"/>
    </font>
    <font>
      <sz val="11"/>
      <color theme="0"/>
      <name val="Calibri"/>
      <family val="2"/>
      <scheme val="minor"/>
    </font>
    <font>
      <sz val="9"/>
      <color indexed="81"/>
      <name val="Tahoma"/>
      <family val="2"/>
    </font>
    <font>
      <b/>
      <sz val="12"/>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vertAlign val="subscript"/>
      <sz val="11"/>
      <color theme="1"/>
      <name val="Calibri"/>
      <family val="2"/>
      <scheme val="minor"/>
    </font>
    <font>
      <sz val="16"/>
      <color theme="1"/>
      <name val="Calibri"/>
      <family val="2"/>
      <scheme val="minor"/>
    </font>
    <font>
      <sz val="14"/>
      <color theme="1"/>
      <name val="Calibri"/>
      <family val="2"/>
      <scheme val="minor"/>
    </font>
    <font>
      <sz val="10"/>
      <color theme="1"/>
      <name val="Calibri"/>
      <family val="2"/>
      <scheme val="minor"/>
    </font>
    <font>
      <b/>
      <sz val="14"/>
      <color theme="1"/>
      <name val="Calibri"/>
      <family val="2"/>
      <scheme val="minor"/>
    </font>
    <font>
      <b/>
      <sz val="14"/>
      <name val="Calibri"/>
      <family val="2"/>
      <scheme val="minor"/>
    </font>
    <font>
      <i/>
      <sz val="11"/>
      <color theme="1"/>
      <name val="Calibri"/>
      <family val="2"/>
      <scheme val="minor"/>
    </font>
    <font>
      <b/>
      <sz val="11"/>
      <color theme="0"/>
      <name val="Calibri"/>
      <family val="2"/>
      <scheme val="minor"/>
    </font>
    <font>
      <sz val="11"/>
      <color rgb="FF000000"/>
      <name val="Calibri"/>
      <family val="2"/>
    </font>
    <font>
      <b/>
      <sz val="9"/>
      <color indexed="81"/>
      <name val="Tahoma"/>
      <family val="2"/>
    </font>
    <font>
      <sz val="12"/>
      <name val="Helv"/>
    </font>
    <font>
      <b/>
      <u/>
      <sz val="11"/>
      <name val="Calibri"/>
      <family val="2"/>
      <scheme val="minor"/>
    </font>
    <font>
      <b/>
      <i/>
      <sz val="14"/>
      <name val="Calibri"/>
      <family val="2"/>
      <scheme val="minor"/>
    </font>
    <font>
      <sz val="10"/>
      <name val="Arial"/>
      <family val="2"/>
    </font>
    <font>
      <b/>
      <vertAlign val="subscript"/>
      <sz val="11"/>
      <color theme="1"/>
      <name val="Calibri"/>
      <family val="2"/>
      <scheme val="minor"/>
    </font>
    <font>
      <b/>
      <sz val="12"/>
      <name val="Calibri"/>
      <family val="2"/>
      <scheme val="minor"/>
    </font>
    <font>
      <sz val="10"/>
      <color rgb="FF363636"/>
      <name val="Segoe UI"/>
      <family val="2"/>
    </font>
    <font>
      <sz val="11"/>
      <color indexed="8"/>
      <name val="Calibri"/>
      <family val="2"/>
      <scheme val="minor"/>
    </font>
    <font>
      <i/>
      <sz val="11"/>
      <name val="Calibri"/>
      <family val="2"/>
      <scheme val="minor"/>
    </font>
    <font>
      <sz val="11"/>
      <color rgb="FF000000"/>
      <name val="Calibri"/>
      <family val="2"/>
      <scheme val="minor"/>
    </font>
    <font>
      <sz val="18"/>
      <name val="Calibri"/>
      <family val="2"/>
      <scheme val="minor"/>
    </font>
    <font>
      <b/>
      <sz val="11"/>
      <color rgb="FFFF0000"/>
      <name val="Calibri"/>
      <family val="2"/>
      <scheme val="minor"/>
    </font>
    <font>
      <u/>
      <sz val="11"/>
      <color theme="10"/>
      <name val="Calibri"/>
      <family val="2"/>
      <scheme val="minor"/>
    </font>
    <font>
      <i/>
      <sz val="11"/>
      <color rgb="FF000000"/>
      <name val="Calibri"/>
      <family val="2"/>
      <scheme val="minor"/>
    </font>
    <font>
      <i/>
      <sz val="9"/>
      <color theme="1"/>
      <name val="Calibri"/>
      <family val="2"/>
      <scheme val="minor"/>
    </font>
    <font>
      <i/>
      <vertAlign val="subscript"/>
      <sz val="11"/>
      <name val="Calibri"/>
      <family val="2"/>
      <scheme val="minor"/>
    </font>
    <font>
      <b/>
      <sz val="12"/>
      <color theme="1"/>
      <name val="Times New Roman"/>
      <family val="1"/>
    </font>
    <font>
      <sz val="12"/>
      <color theme="1"/>
      <name val="Times New Roman"/>
      <family val="1"/>
    </font>
    <font>
      <b/>
      <sz val="14"/>
      <color theme="1"/>
      <name val="Times New Roman"/>
      <family val="1"/>
    </font>
    <font>
      <sz val="11"/>
      <color theme="1"/>
      <name val="Times New Roman"/>
      <family val="1"/>
    </font>
    <font>
      <sz val="9"/>
      <color theme="1"/>
      <name val="Calibri"/>
      <family val="2"/>
      <scheme val="minor"/>
    </font>
    <font>
      <sz val="10"/>
      <name val="Verdana"/>
      <family val="2"/>
    </font>
    <font>
      <b/>
      <sz val="10"/>
      <name val="Arial"/>
      <family val="2"/>
    </font>
    <font>
      <b/>
      <sz val="10"/>
      <name val="Verdana"/>
      <family val="2"/>
    </font>
    <font>
      <sz val="10"/>
      <color rgb="FFC00000"/>
      <name val="Verdana"/>
      <family val="2"/>
    </font>
    <font>
      <u/>
      <sz val="10"/>
      <color indexed="12"/>
      <name val="Arial"/>
      <family val="2"/>
    </font>
    <font>
      <b/>
      <u/>
      <sz val="10"/>
      <color indexed="12"/>
      <name val="Arial"/>
      <family val="2"/>
    </font>
    <font>
      <b/>
      <sz val="12"/>
      <name val="Arial"/>
      <family val="2"/>
    </font>
    <font>
      <b/>
      <i/>
      <sz val="10"/>
      <name val="Arial"/>
      <family val="2"/>
    </font>
    <font>
      <b/>
      <sz val="10"/>
      <color rgb="FFFF0000"/>
      <name val="Verdana"/>
      <family val="2"/>
    </font>
    <font>
      <b/>
      <sz val="12"/>
      <color rgb="FFFF0000"/>
      <name val="Verdana"/>
      <family val="2"/>
    </font>
    <font>
      <sz val="14"/>
      <color theme="1"/>
      <name val="Times New Roman"/>
      <family val="1"/>
    </font>
    <font>
      <b/>
      <sz val="11"/>
      <color theme="1"/>
      <name val="Times New Roman"/>
      <family val="1"/>
    </font>
    <font>
      <b/>
      <sz val="12"/>
      <name val="Times New Roman"/>
      <family val="1"/>
    </font>
    <font>
      <sz val="12"/>
      <name val="Times New Roman"/>
      <family val="1"/>
    </font>
    <font>
      <sz val="12"/>
      <name val="Arial"/>
      <family val="2"/>
    </font>
    <font>
      <u/>
      <sz val="12"/>
      <name val="Times New Roman"/>
      <family val="1"/>
    </font>
    <font>
      <b/>
      <sz val="11"/>
      <name val="Arial"/>
      <family val="2"/>
    </font>
    <font>
      <i/>
      <vertAlign val="subscript"/>
      <sz val="11"/>
      <color rgb="FF000000"/>
      <name val="Calibri"/>
      <family val="2"/>
      <scheme val="minor"/>
    </font>
    <font>
      <sz val="9"/>
      <name val="Arial"/>
      <family val="2"/>
    </font>
    <font>
      <b/>
      <sz val="9"/>
      <name val="Arial"/>
      <family val="2"/>
    </font>
    <font>
      <b/>
      <sz val="11"/>
      <color rgb="FF000000"/>
      <name val="Calibri"/>
      <family val="2"/>
    </font>
    <font>
      <sz val="10"/>
      <color rgb="FF00B0F0"/>
      <name val="Verdana"/>
      <family val="2"/>
    </font>
    <font>
      <sz val="8"/>
      <name val="Calibri"/>
      <family val="2"/>
      <scheme val="minor"/>
    </font>
    <font>
      <b/>
      <sz val="16"/>
      <color theme="1"/>
      <name val="Calibri"/>
      <family val="2"/>
      <scheme val="minor"/>
    </font>
    <font>
      <sz val="9"/>
      <color rgb="FF000000"/>
      <name val="Arial"/>
      <family val="2"/>
    </font>
    <font>
      <b/>
      <sz val="9"/>
      <color rgb="FF000000"/>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theme="1" tint="0.14999847407452621"/>
        <bgColor indexed="64"/>
      </patternFill>
    </fill>
    <fill>
      <patternFill patternType="solid">
        <fgColor rgb="FFACCCEA"/>
        <bgColor indexed="64"/>
      </patternFill>
    </fill>
    <fill>
      <patternFill patternType="solid">
        <fgColor rgb="FFB6DF89"/>
        <bgColor indexed="64"/>
      </patternFill>
    </fill>
    <fill>
      <patternFill patternType="solid">
        <fgColor rgb="FFFF0000"/>
        <bgColor indexed="64"/>
      </patternFill>
    </fill>
    <fill>
      <patternFill patternType="solid">
        <fgColor theme="1"/>
        <bgColor indexed="64"/>
      </patternFill>
    </fill>
    <fill>
      <patternFill patternType="mediumGray">
        <fgColor theme="0"/>
        <bgColor rgb="FFFFFF61"/>
      </patternFill>
    </fill>
    <fill>
      <patternFill patternType="solid">
        <fgColor rgb="FFFFFF99"/>
        <bgColor indexed="64"/>
      </patternFill>
    </fill>
    <fill>
      <patternFill patternType="solid">
        <fgColor rgb="FFA5A5A5"/>
      </patternFill>
    </fill>
    <fill>
      <patternFill patternType="solid">
        <fgColor theme="0"/>
        <bgColor indexed="64"/>
      </patternFill>
    </fill>
    <fill>
      <patternFill patternType="solid">
        <fgColor rgb="FFFF7C80"/>
        <bgColor indexed="64"/>
      </patternFill>
    </fill>
    <fill>
      <patternFill patternType="solid">
        <fgColor rgb="FFC9E7A7"/>
        <bgColor indexed="64"/>
      </patternFill>
    </fill>
    <fill>
      <patternFill patternType="solid">
        <fgColor rgb="FFCC99FF"/>
        <bgColor indexed="64"/>
      </patternFill>
    </fill>
    <fill>
      <patternFill patternType="solid">
        <fgColor theme="4" tint="0.79998168889431442"/>
        <bgColor indexed="64"/>
      </patternFill>
    </fill>
  </fills>
  <borders count="119">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medium">
        <color indexed="64"/>
      </right>
      <top/>
      <bottom style="thin">
        <color auto="1"/>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top/>
      <bottom style="medium">
        <color indexed="64"/>
      </bottom>
      <diagonal/>
    </border>
    <border>
      <left/>
      <right style="thin">
        <color auto="1"/>
      </right>
      <top style="medium">
        <color indexed="64"/>
      </top>
      <bottom/>
      <diagonal/>
    </border>
    <border>
      <left/>
      <right style="thin">
        <color auto="1"/>
      </right>
      <top/>
      <bottom style="medium">
        <color indexed="64"/>
      </bottom>
      <diagonal/>
    </border>
    <border>
      <left/>
      <right style="thin">
        <color auto="1"/>
      </right>
      <top style="medium">
        <color indexed="64"/>
      </top>
      <bottom style="medium">
        <color indexed="64"/>
      </bottom>
      <diagonal/>
    </border>
    <border>
      <left/>
      <right style="thin">
        <color auto="1"/>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double">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rgb="FF3F3F3F"/>
      </left>
      <right style="double">
        <color rgb="FF3F3F3F"/>
      </right>
      <top style="double">
        <color rgb="FF3F3F3F"/>
      </top>
      <bottom style="double">
        <color rgb="FF3F3F3F"/>
      </bottom>
      <diagonal/>
    </border>
    <border>
      <left/>
      <right/>
      <top style="double">
        <color auto="1"/>
      </top>
      <bottom style="double">
        <color auto="1"/>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hair">
        <color auto="1"/>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double">
        <color rgb="FFFF0000"/>
      </left>
      <right style="double">
        <color rgb="FFFF0000"/>
      </right>
      <top style="double">
        <color rgb="FFFF0000"/>
      </top>
      <bottom/>
      <diagonal/>
    </border>
    <border>
      <left style="double">
        <color rgb="FFFF0000"/>
      </left>
      <right style="double">
        <color rgb="FFFF0000"/>
      </right>
      <top/>
      <bottom/>
      <diagonal/>
    </border>
    <border>
      <left style="double">
        <color rgb="FFFF0000"/>
      </left>
      <right style="double">
        <color rgb="FFFF0000"/>
      </right>
      <top/>
      <bottom style="double">
        <color rgb="FFFF0000"/>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medium">
        <color indexed="64"/>
      </left>
      <right style="medium">
        <color indexed="64"/>
      </right>
      <top/>
      <bottom/>
      <diagonal/>
    </border>
    <border>
      <left/>
      <right/>
      <top/>
      <bottom style="double">
        <color indexed="64"/>
      </bottom>
      <diagonal/>
    </border>
    <border>
      <left style="double">
        <color indexed="64"/>
      </left>
      <right style="double">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style="double">
        <color indexed="64"/>
      </right>
      <top style="double">
        <color indexed="64"/>
      </top>
      <bottom/>
      <diagonal/>
    </border>
    <border>
      <left style="double">
        <color indexed="64"/>
      </left>
      <right style="hair">
        <color indexed="64"/>
      </right>
      <top style="hair">
        <color indexed="64"/>
      </top>
      <bottom style="hair">
        <color indexed="64"/>
      </bottom>
      <diagonal/>
    </border>
    <border>
      <left style="double">
        <color indexed="64"/>
      </left>
      <right style="double">
        <color indexed="64"/>
      </right>
      <top/>
      <bottom style="double">
        <color indexed="64"/>
      </bottom>
      <diagonal/>
    </border>
    <border>
      <left style="double">
        <color indexed="64"/>
      </left>
      <right/>
      <top/>
      <bottom/>
      <diagonal/>
    </border>
    <border>
      <left style="double">
        <color indexed="64"/>
      </left>
      <right style="double">
        <color indexed="64"/>
      </right>
      <top/>
      <bottom style="thin">
        <color indexed="64"/>
      </bottom>
      <diagonal/>
    </border>
    <border>
      <left style="double">
        <color indexed="64"/>
      </left>
      <right style="hair">
        <color indexed="64"/>
      </right>
      <top/>
      <bottom style="hair">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hair">
        <color indexed="64"/>
      </right>
      <top style="hair">
        <color indexed="64"/>
      </top>
      <bottom/>
      <diagonal/>
    </border>
    <border>
      <left style="hair">
        <color indexed="64"/>
      </left>
      <right/>
      <top style="hair">
        <color indexed="64"/>
      </top>
      <bottom style="double">
        <color indexed="64"/>
      </bottom>
      <diagonal/>
    </border>
    <border>
      <left style="double">
        <color indexed="64"/>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auto="1"/>
      </left>
      <right/>
      <top style="dotted">
        <color indexed="64"/>
      </top>
      <bottom/>
      <diagonal/>
    </border>
    <border>
      <left/>
      <right/>
      <top style="dotted">
        <color indexed="64"/>
      </top>
      <bottom/>
      <diagonal/>
    </border>
    <border>
      <left/>
      <right style="thin">
        <color auto="1"/>
      </right>
      <top style="dotted">
        <color indexed="64"/>
      </top>
      <bottom/>
      <diagonal/>
    </border>
    <border>
      <left style="thin">
        <color auto="1"/>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double">
        <color indexed="64"/>
      </left>
      <right style="thin">
        <color auto="1"/>
      </right>
      <top style="hair">
        <color indexed="64"/>
      </top>
      <bottom style="hair">
        <color indexed="64"/>
      </bottom>
      <diagonal/>
    </border>
    <border>
      <left style="hair">
        <color indexed="64"/>
      </left>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right style="double">
        <color indexed="64"/>
      </right>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top style="double">
        <color indexed="64"/>
      </top>
      <bottom/>
      <diagonal/>
    </border>
    <border>
      <left/>
      <right style="double">
        <color indexed="64"/>
      </right>
      <top style="medium">
        <color indexed="64"/>
      </top>
      <bottom/>
      <diagonal/>
    </border>
    <border>
      <left style="double">
        <color indexed="64"/>
      </left>
      <right/>
      <top style="double">
        <color indexed="64"/>
      </top>
      <bottom style="thick">
        <color indexed="64"/>
      </bottom>
      <diagonal/>
    </border>
    <border>
      <left/>
      <right/>
      <top style="double">
        <color indexed="64"/>
      </top>
      <bottom style="thick">
        <color indexed="64"/>
      </bottom>
      <diagonal/>
    </border>
    <border>
      <left/>
      <right style="double">
        <color indexed="64"/>
      </right>
      <top style="double">
        <color indexed="64"/>
      </top>
      <bottom style="thick">
        <color indexed="64"/>
      </bottom>
      <diagonal/>
    </border>
    <border>
      <left/>
      <right/>
      <top/>
      <bottom style="thick">
        <color indexed="64"/>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style="double">
        <color indexed="64"/>
      </left>
      <right style="medium">
        <color indexed="64"/>
      </right>
      <top style="double">
        <color indexed="64"/>
      </top>
      <bottom style="medium">
        <color indexed="64"/>
      </bottom>
      <diagonal/>
    </border>
    <border>
      <left style="double">
        <color indexed="64"/>
      </left>
      <right/>
      <top/>
      <bottom style="medium">
        <color indexed="64"/>
      </bottom>
      <diagonal/>
    </border>
    <border>
      <left style="double">
        <color indexed="64"/>
      </left>
      <right/>
      <top style="medium">
        <color indexed="64"/>
      </top>
      <bottom/>
      <diagonal/>
    </border>
    <border>
      <left style="double">
        <color indexed="64"/>
      </left>
      <right/>
      <top style="hair">
        <color indexed="64"/>
      </top>
      <bottom/>
      <diagonal/>
    </border>
  </borders>
  <cellStyleXfs count="8">
    <xf numFmtId="0" fontId="0" fillId="0" borderId="0"/>
    <xf numFmtId="44" fontId="8" fillId="0" borderId="0" applyFont="0" applyFill="0" applyBorder="0" applyAlignment="0" applyProtection="0"/>
    <xf numFmtId="0" fontId="16" fillId="10" borderId="55" applyNumberFormat="0" applyAlignment="0" applyProtection="0"/>
    <xf numFmtId="168" fontId="19" fillId="0" borderId="0"/>
    <xf numFmtId="0" fontId="22" fillId="0" borderId="0"/>
    <xf numFmtId="0" fontId="31" fillId="0" borderId="0" applyNumberFormat="0" applyFill="0" applyBorder="0" applyAlignment="0" applyProtection="0"/>
    <xf numFmtId="0" fontId="40" fillId="0" borderId="0"/>
    <xf numFmtId="0" fontId="44" fillId="0" borderId="0" applyNumberFormat="0" applyFill="0" applyBorder="0" applyAlignment="0" applyProtection="0">
      <alignment vertical="top"/>
      <protection locked="0"/>
    </xf>
  </cellStyleXfs>
  <cellXfs count="710">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1" fillId="0" borderId="0" xfId="0" applyFont="1"/>
    <xf numFmtId="0" fontId="0" fillId="0" borderId="0" xfId="0" applyBorder="1" applyAlignment="1">
      <alignment horizontal="center"/>
    </xf>
    <xf numFmtId="0" fontId="0" fillId="0" borderId="0" xfId="0" applyAlignment="1">
      <alignment horizontal="left"/>
    </xf>
    <xf numFmtId="0" fontId="0" fillId="0" borderId="0" xfId="0" applyBorder="1" applyAlignment="1">
      <alignment horizontal="left"/>
    </xf>
    <xf numFmtId="0" fontId="0" fillId="2" borderId="1" xfId="0" applyFill="1" applyBorder="1" applyAlignment="1">
      <alignment horizontal="center"/>
    </xf>
    <xf numFmtId="0" fontId="0" fillId="2" borderId="1" xfId="0" applyFill="1" applyBorder="1"/>
    <xf numFmtId="0" fontId="0" fillId="0" borderId="0" xfId="0" applyAlignment="1">
      <alignment horizontal="center" vertical="center"/>
    </xf>
    <xf numFmtId="0" fontId="0" fillId="2" borderId="12" xfId="0" applyFill="1" applyBorder="1"/>
    <xf numFmtId="0" fontId="0" fillId="2" borderId="4" xfId="0" applyFill="1" applyBorder="1" applyAlignment="1">
      <alignment horizontal="center" vertical="center" wrapText="1"/>
    </xf>
    <xf numFmtId="0" fontId="0" fillId="2" borderId="9" xfId="0" applyFill="1" applyBorder="1" applyAlignment="1">
      <alignment horizontal="center" vertical="center" wrapText="1"/>
    </xf>
    <xf numFmtId="14" fontId="0" fillId="2" borderId="1" xfId="0" applyNumberFormat="1" applyFill="1"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8" xfId="0" applyBorder="1"/>
    <xf numFmtId="0" fontId="0" fillId="2" borderId="14" xfId="0" applyFill="1" applyBorder="1" applyAlignment="1">
      <alignment horizontal="right"/>
    </xf>
    <xf numFmtId="14" fontId="0" fillId="2" borderId="13" xfId="0" applyNumberFormat="1" applyFill="1" applyBorder="1" applyAlignment="1">
      <alignment horizontal="center" vertical="center"/>
    </xf>
    <xf numFmtId="0" fontId="0" fillId="0" borderId="0" xfId="0" applyBorder="1" applyAlignment="1">
      <alignment horizontal="center" vertical="center"/>
    </xf>
    <xf numFmtId="0" fontId="0" fillId="2" borderId="12" xfId="0" applyFill="1" applyBorder="1" applyAlignment="1">
      <alignment horizontal="right"/>
    </xf>
    <xf numFmtId="14" fontId="0" fillId="2" borderId="13" xfId="0" applyNumberFormat="1" applyFill="1" applyBorder="1" applyAlignment="1">
      <alignment horizontal="center"/>
    </xf>
    <xf numFmtId="1" fontId="0" fillId="2" borderId="13" xfId="0" applyNumberFormat="1" applyFill="1" applyBorder="1" applyAlignment="1">
      <alignment horizontal="center"/>
    </xf>
    <xf numFmtId="0" fontId="0" fillId="0" borderId="0" xfId="0" applyFill="1"/>
    <xf numFmtId="0" fontId="0" fillId="0" borderId="0" xfId="0" applyAlignment="1">
      <alignment horizontal="right"/>
    </xf>
    <xf numFmtId="0" fontId="10" fillId="0" borderId="0" xfId="0" applyFont="1"/>
    <xf numFmtId="0" fontId="0" fillId="2" borderId="0" xfId="0" applyFill="1" applyBorder="1" applyAlignment="1">
      <alignment horizontal="center"/>
    </xf>
    <xf numFmtId="0" fontId="0" fillId="0" borderId="3" xfId="0" applyBorder="1"/>
    <xf numFmtId="0" fontId="0" fillId="0" borderId="18" xfId="0" applyBorder="1"/>
    <xf numFmtId="0" fontId="4" fillId="0" borderId="0" xfId="0" applyFont="1" applyAlignment="1">
      <alignment horizontal="left"/>
    </xf>
    <xf numFmtId="0" fontId="0" fillId="7" borderId="0" xfId="0" applyFill="1"/>
    <xf numFmtId="0" fontId="0" fillId="0" borderId="0" xfId="0" applyBorder="1" applyAlignment="1">
      <alignment horizontal="left" vertical="center"/>
    </xf>
    <xf numFmtId="0" fontId="0" fillId="0" borderId="6" xfId="0" applyBorder="1" applyAlignment="1">
      <alignment horizontal="center" vertical="center"/>
    </xf>
    <xf numFmtId="0" fontId="0" fillId="2" borderId="1" xfId="0" applyFill="1" applyBorder="1" applyAlignment="1">
      <alignment vertical="center" wrapText="1"/>
    </xf>
    <xf numFmtId="0" fontId="0" fillId="2" borderId="12" xfId="0" applyFill="1" applyBorder="1" applyAlignment="1">
      <alignment horizontal="left" vertical="center" wrapText="1"/>
    </xf>
    <xf numFmtId="0" fontId="0" fillId="0" borderId="0" xfId="0" applyAlignment="1">
      <alignment horizontal="left" vertical="center"/>
    </xf>
    <xf numFmtId="0" fontId="0" fillId="0" borderId="0" xfId="0" applyFill="1" applyAlignment="1">
      <alignment horizontal="left" vertical="center"/>
    </xf>
    <xf numFmtId="0" fontId="0" fillId="2" borderId="1" xfId="0" applyFill="1" applyBorder="1" applyAlignment="1">
      <alignment horizontal="left" vertical="center"/>
    </xf>
    <xf numFmtId="0" fontId="0" fillId="6" borderId="22" xfId="0" applyFill="1" applyBorder="1"/>
    <xf numFmtId="0" fontId="11" fillId="0" borderId="0" xfId="0" applyFont="1" applyAlignment="1">
      <alignment horizontal="left" vertical="center"/>
    </xf>
    <xf numFmtId="0" fontId="0" fillId="0" borderId="1" xfId="0" applyBorder="1" applyAlignment="1">
      <alignment vertical="center"/>
    </xf>
    <xf numFmtId="0" fontId="0" fillId="0" borderId="1" xfId="0" applyBorder="1" applyAlignment="1">
      <alignment horizontal="left" vertical="center"/>
    </xf>
    <xf numFmtId="0" fontId="1" fillId="0" borderId="14" xfId="0" applyFont="1" applyBorder="1"/>
    <xf numFmtId="0" fontId="0" fillId="2" borderId="1" xfId="0" applyFill="1" applyBorder="1" applyAlignment="1">
      <alignment horizontal="center" vertical="center" wrapText="1"/>
    </xf>
    <xf numFmtId="0" fontId="5" fillId="4" borderId="27"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0" fillId="0" borderId="15" xfId="0" applyFill="1" applyBorder="1" applyAlignment="1">
      <alignment horizontal="center" vertical="center"/>
    </xf>
    <xf numFmtId="0" fontId="5" fillId="0" borderId="15" xfId="0" applyFont="1" applyFill="1" applyBorder="1" applyAlignment="1">
      <alignment horizontal="center" vertical="center"/>
    </xf>
    <xf numFmtId="0" fontId="0" fillId="0" borderId="44" xfId="0" applyFill="1" applyBorder="1" applyAlignment="1">
      <alignment horizontal="center" vertical="center"/>
    </xf>
    <xf numFmtId="0" fontId="0" fillId="0" borderId="45" xfId="0" applyFill="1" applyBorder="1" applyAlignment="1">
      <alignment horizontal="center" vertical="center"/>
    </xf>
    <xf numFmtId="0" fontId="0" fillId="0" borderId="46" xfId="0" applyFill="1" applyBorder="1" applyAlignment="1">
      <alignment horizontal="center" vertical="center"/>
    </xf>
    <xf numFmtId="0" fontId="0" fillId="0" borderId="22" xfId="0" applyFill="1" applyBorder="1" applyAlignment="1">
      <alignment horizontal="center" vertical="center"/>
    </xf>
    <xf numFmtId="0" fontId="5" fillId="0" borderId="22" xfId="0" applyFont="1" applyFill="1" applyBorder="1" applyAlignment="1">
      <alignment horizontal="center" vertical="center"/>
    </xf>
    <xf numFmtId="0" fontId="5" fillId="4" borderId="35" xfId="0" applyFont="1" applyFill="1" applyBorder="1" applyAlignment="1">
      <alignment horizontal="center" vertical="center" wrapText="1"/>
    </xf>
    <xf numFmtId="0" fontId="0" fillId="9" borderId="18" xfId="0" applyFill="1" applyBorder="1" applyAlignment="1"/>
    <xf numFmtId="0" fontId="5" fillId="9" borderId="27"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9" borderId="29" xfId="0" applyFont="1" applyFill="1" applyBorder="1" applyAlignment="1">
      <alignment horizontal="left" vertical="center" wrapText="1"/>
    </xf>
    <xf numFmtId="0" fontId="0" fillId="9" borderId="1" xfId="0" applyFill="1" applyBorder="1" applyAlignment="1" applyProtection="1">
      <alignment horizontal="center"/>
      <protection locked="0"/>
    </xf>
    <xf numFmtId="0" fontId="0" fillId="9" borderId="1" xfId="0" applyFill="1" applyBorder="1" applyAlignment="1" applyProtection="1">
      <alignment horizontal="center" vertical="center"/>
      <protection locked="0"/>
    </xf>
    <xf numFmtId="0" fontId="0" fillId="9" borderId="1" xfId="0" applyFill="1" applyBorder="1" applyAlignment="1" applyProtection="1">
      <alignment horizontal="left" wrapText="1"/>
      <protection locked="0"/>
    </xf>
    <xf numFmtId="0" fontId="0" fillId="5" borderId="12" xfId="0" applyFill="1" applyBorder="1" applyAlignment="1" applyProtection="1">
      <alignment horizontal="center" vertical="center"/>
      <protection locked="0"/>
    </xf>
    <xf numFmtId="14" fontId="0" fillId="5" borderId="12" xfId="0" applyNumberFormat="1" applyFill="1" applyBorder="1" applyAlignment="1" applyProtection="1">
      <alignment horizontal="center" vertical="center"/>
      <protection locked="0"/>
    </xf>
    <xf numFmtId="14" fontId="0" fillId="5" borderId="1" xfId="0" applyNumberFormat="1" applyFill="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0" fontId="0" fillId="0" borderId="0" xfId="0" applyBorder="1" applyAlignment="1" applyProtection="1">
      <alignment horizontal="center" vertical="center" wrapText="1"/>
      <protection locked="0"/>
    </xf>
    <xf numFmtId="165" fontId="0" fillId="0" borderId="0" xfId="0" applyNumberFormat="1" applyBorder="1" applyAlignment="1" applyProtection="1">
      <alignment horizontal="center" vertical="center" wrapText="1"/>
      <protection locked="0"/>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0" xfId="0" applyAlignment="1">
      <alignment wrapText="1"/>
    </xf>
    <xf numFmtId="0" fontId="6" fillId="0" borderId="0" xfId="0" applyFont="1"/>
    <xf numFmtId="0" fontId="4" fillId="2" borderId="12" xfId="0" applyFont="1" applyFill="1" applyBorder="1" applyAlignment="1">
      <alignment horizontal="center" vertical="center"/>
    </xf>
    <xf numFmtId="0" fontId="0" fillId="9" borderId="1" xfId="0" applyFill="1" applyBorder="1" applyAlignment="1" applyProtection="1">
      <alignment wrapText="1"/>
      <protection locked="0"/>
    </xf>
    <xf numFmtId="1" fontId="0" fillId="9" borderId="1" xfId="0" applyNumberFormat="1" applyFill="1" applyBorder="1" applyAlignment="1" applyProtection="1">
      <alignment horizontal="center" wrapText="1"/>
      <protection locked="0"/>
    </xf>
    <xf numFmtId="14" fontId="0" fillId="9" borderId="1" xfId="0" applyNumberForma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wrapText="1"/>
      <protection locked="0"/>
    </xf>
    <xf numFmtId="0" fontId="5" fillId="0" borderId="0" xfId="0" applyFont="1"/>
    <xf numFmtId="0" fontId="0" fillId="0" borderId="0" xfId="0" applyFill="1" applyBorder="1"/>
    <xf numFmtId="0" fontId="16" fillId="0" borderId="0" xfId="2" applyFill="1" applyBorder="1"/>
    <xf numFmtId="0" fontId="0" fillId="0" borderId="0" xfId="0" applyFill="1" applyBorder="1" applyAlignment="1">
      <alignment wrapText="1"/>
    </xf>
    <xf numFmtId="0" fontId="0" fillId="0" borderId="0" xfId="0" applyFill="1" applyBorder="1" applyAlignment="1">
      <alignment horizontal="center" vertical="center"/>
    </xf>
    <xf numFmtId="14" fontId="0" fillId="9" borderId="12" xfId="0" applyNumberFormat="1" applyFill="1" applyBorder="1" applyAlignment="1" applyProtection="1">
      <alignment horizontal="center" vertical="center" wrapText="1"/>
      <protection locked="0"/>
    </xf>
    <xf numFmtId="0" fontId="0" fillId="2" borderId="27" xfId="0" applyFill="1" applyBorder="1" applyAlignment="1">
      <alignment horizontal="center" vertical="center"/>
    </xf>
    <xf numFmtId="0" fontId="0" fillId="9" borderId="1" xfId="0" applyFill="1" applyBorder="1" applyAlignment="1" applyProtection="1">
      <alignment horizontal="left" vertical="top" wrapText="1"/>
      <protection locked="0"/>
    </xf>
    <xf numFmtId="167" fontId="0" fillId="9" borderId="1" xfId="0" applyNumberFormat="1" applyFill="1" applyBorder="1" applyAlignment="1" applyProtection="1">
      <alignment horizontal="center" vertical="top" wrapText="1"/>
      <protection locked="0"/>
    </xf>
    <xf numFmtId="0" fontId="0" fillId="0" borderId="0" xfId="0" applyAlignment="1">
      <alignment horizontal="center" vertical="top"/>
    </xf>
    <xf numFmtId="0" fontId="0" fillId="0" borderId="0" xfId="0" applyAlignment="1">
      <alignment horizontal="left" vertical="top"/>
    </xf>
    <xf numFmtId="167" fontId="0" fillId="9" borderId="1" xfId="0" applyNumberFormat="1" applyFill="1" applyBorder="1" applyAlignment="1" applyProtection="1">
      <alignment horizontal="left" vertical="top" wrapText="1"/>
      <protection locked="0"/>
    </xf>
    <xf numFmtId="168" fontId="5" fillId="0" borderId="0" xfId="3" applyFont="1" applyAlignment="1" applyProtection="1">
      <alignment vertical="center"/>
      <protection locked="0"/>
    </xf>
    <xf numFmtId="0" fontId="0" fillId="0" borderId="0" xfId="0" applyProtection="1">
      <protection locked="0"/>
    </xf>
    <xf numFmtId="168" fontId="5" fillId="0" borderId="0" xfId="3" applyFont="1" applyAlignment="1" applyProtection="1"/>
    <xf numFmtId="168" fontId="5" fillId="0" borderId="0" xfId="3" applyFont="1" applyBorder="1" applyAlignment="1" applyProtection="1"/>
    <xf numFmtId="168" fontId="14" fillId="0" borderId="0" xfId="3" applyFont="1" applyAlignment="1" applyProtection="1">
      <alignment horizontal="center" vertical="center"/>
    </xf>
    <xf numFmtId="168" fontId="5" fillId="0" borderId="0" xfId="3" applyFont="1" applyAlignment="1" applyProtection="1">
      <protection locked="0"/>
    </xf>
    <xf numFmtId="168" fontId="20" fillId="0" borderId="0" xfId="3" applyFont="1" applyAlignment="1" applyProtection="1">
      <alignment vertical="center"/>
    </xf>
    <xf numFmtId="168" fontId="7" fillId="0" borderId="0" xfId="3" applyFont="1" applyAlignment="1" applyProtection="1">
      <alignment horizontal="center" vertical="center"/>
    </xf>
    <xf numFmtId="168" fontId="20" fillId="0" borderId="0" xfId="3" applyFont="1" applyAlignment="1" applyProtection="1">
      <alignment horizontal="left" vertical="center"/>
    </xf>
    <xf numFmtId="168" fontId="5" fillId="0" borderId="0" xfId="3" applyFont="1" applyAlignment="1" applyProtection="1">
      <alignment vertical="center"/>
    </xf>
    <xf numFmtId="168" fontId="5" fillId="0" borderId="0" xfId="3" applyFont="1" applyAlignment="1" applyProtection="1">
      <alignment horizontal="center" vertical="center"/>
    </xf>
    <xf numFmtId="168" fontId="5" fillId="0" borderId="0" xfId="3" applyFont="1" applyAlignment="1" applyProtection="1">
      <alignment horizontal="right" vertical="center"/>
    </xf>
    <xf numFmtId="0" fontId="8" fillId="0" borderId="0" xfId="0" applyFont="1" applyProtection="1"/>
    <xf numFmtId="168" fontId="5" fillId="0" borderId="0" xfId="3" applyFont="1" applyAlignment="1" applyProtection="1">
      <alignment horizontal="right" vertical="top"/>
    </xf>
    <xf numFmtId="168" fontId="7" fillId="0" borderId="0" xfId="3" applyFont="1" applyAlignment="1" applyProtection="1">
      <alignment horizontal="right" vertical="top"/>
    </xf>
    <xf numFmtId="168" fontId="5" fillId="0" borderId="0" xfId="3" quotePrefix="1" applyFont="1" applyAlignment="1" applyProtection="1">
      <alignment horizontal="left" vertical="center"/>
    </xf>
    <xf numFmtId="168" fontId="5" fillId="0" borderId="0" xfId="3" applyFont="1" applyAlignment="1" applyProtection="1">
      <alignment horizontal="left" vertical="center"/>
    </xf>
    <xf numFmtId="0" fontId="6" fillId="0" borderId="0" xfId="0" applyFont="1" applyAlignment="1" applyProtection="1">
      <alignment horizontal="right" vertical="top"/>
      <protection locked="0"/>
    </xf>
    <xf numFmtId="0" fontId="6" fillId="0" borderId="0" xfId="0" applyFont="1" applyAlignment="1" applyProtection="1">
      <alignment horizontal="right"/>
      <protection locked="0"/>
    </xf>
    <xf numFmtId="0" fontId="24" fillId="0" borderId="10" xfId="4" applyFont="1" applyBorder="1" applyAlignment="1" applyProtection="1">
      <alignment horizontal="left" vertical="top"/>
    </xf>
    <xf numFmtId="0" fontId="5" fillId="0" borderId="10" xfId="4" applyFont="1" applyBorder="1" applyAlignment="1" applyProtection="1"/>
    <xf numFmtId="0" fontId="5" fillId="0" borderId="10" xfId="4" applyFont="1" applyBorder="1" applyAlignment="1" applyProtection="1">
      <alignment horizontal="right"/>
    </xf>
    <xf numFmtId="168" fontId="5" fillId="0" borderId="6" xfId="3" applyFont="1" applyBorder="1" applyAlignment="1" applyProtection="1">
      <alignment vertical="center"/>
    </xf>
    <xf numFmtId="168" fontId="7" fillId="0" borderId="6" xfId="3" applyFont="1" applyBorder="1" applyAlignment="1" applyProtection="1">
      <alignment horizontal="right" vertical="top"/>
    </xf>
    <xf numFmtId="0" fontId="5" fillId="0" borderId="0" xfId="4" applyFont="1" applyAlignment="1" applyProtection="1">
      <alignment vertical="center"/>
    </xf>
    <xf numFmtId="0" fontId="5" fillId="0" borderId="0" xfId="4" applyFont="1" applyAlignment="1" applyProtection="1"/>
    <xf numFmtId="0" fontId="7" fillId="0" borderId="0" xfId="4" applyFont="1" applyAlignment="1" applyProtection="1">
      <alignment horizontal="right" vertical="top"/>
    </xf>
    <xf numFmtId="0" fontId="0" fillId="0" borderId="0" xfId="0" applyAlignment="1" applyProtection="1">
      <alignment horizontal="right" vertical="top"/>
    </xf>
    <xf numFmtId="168" fontId="5" fillId="0" borderId="0" xfId="3" applyFont="1" applyAlignment="1" applyProtection="1">
      <alignment vertical="top"/>
    </xf>
    <xf numFmtId="0" fontId="5" fillId="0" borderId="0" xfId="4" applyFont="1" applyAlignment="1" applyProtection="1">
      <alignment wrapText="1"/>
    </xf>
    <xf numFmtId="168" fontId="7" fillId="0" borderId="0" xfId="3" applyFont="1" applyAlignment="1" applyProtection="1">
      <alignment horizontal="right" vertical="top"/>
      <protection locked="0"/>
    </xf>
    <xf numFmtId="168" fontId="24" fillId="0" borderId="10" xfId="3" applyFont="1" applyBorder="1" applyAlignment="1" applyProtection="1">
      <alignment horizontal="left" vertical="top"/>
    </xf>
    <xf numFmtId="168" fontId="5" fillId="0" borderId="10" xfId="3" applyFont="1" applyBorder="1" applyAlignment="1" applyProtection="1"/>
    <xf numFmtId="168" fontId="5" fillId="0" borderId="10" xfId="3" applyFont="1" applyBorder="1" applyAlignment="1" applyProtection="1">
      <alignment horizontal="right"/>
    </xf>
    <xf numFmtId="168" fontId="24" fillId="0" borderId="0" xfId="3" applyFont="1" applyBorder="1" applyAlignment="1" applyProtection="1">
      <alignment horizontal="left" vertical="top"/>
    </xf>
    <xf numFmtId="168" fontId="7" fillId="0" borderId="0" xfId="3" applyFont="1" applyBorder="1" applyAlignment="1" applyProtection="1">
      <alignment horizontal="right" vertical="top"/>
    </xf>
    <xf numFmtId="168" fontId="5" fillId="0" borderId="0" xfId="3" applyFont="1" applyBorder="1" applyAlignment="1" applyProtection="1">
      <alignment horizontal="right"/>
    </xf>
    <xf numFmtId="168" fontId="7" fillId="0" borderId="0" xfId="3" applyFont="1" applyAlignment="1" applyProtection="1">
      <alignment horizontal="right" vertical="center"/>
    </xf>
    <xf numFmtId="168" fontId="7" fillId="0" borderId="10" xfId="3" applyFont="1" applyBorder="1" applyAlignment="1" applyProtection="1"/>
    <xf numFmtId="168" fontId="24" fillId="0" borderId="10" xfId="3" quotePrefix="1" applyFont="1" applyBorder="1" applyAlignment="1" applyProtection="1">
      <alignment vertical="top"/>
    </xf>
    <xf numFmtId="168" fontId="5" fillId="0" borderId="10" xfId="3" quotePrefix="1" applyFont="1" applyBorder="1" applyAlignment="1" applyProtection="1">
      <alignment vertical="top" wrapText="1"/>
    </xf>
    <xf numFmtId="0" fontId="8" fillId="0" borderId="0" xfId="0" applyFont="1" applyProtection="1">
      <protection locked="0"/>
    </xf>
    <xf numFmtId="0" fontId="0" fillId="0" borderId="12" xfId="0" applyBorder="1" applyAlignment="1">
      <alignment horizontal="right"/>
    </xf>
    <xf numFmtId="0" fontId="5" fillId="0" borderId="12" xfId="0" applyFont="1" applyBorder="1" applyAlignment="1">
      <alignment horizontal="right"/>
    </xf>
    <xf numFmtId="0" fontId="0" fillId="0" borderId="0" xfId="0" applyFill="1" applyBorder="1" applyAlignment="1" applyProtection="1">
      <alignment horizontal="left" vertical="center" wrapText="1"/>
    </xf>
    <xf numFmtId="0" fontId="0" fillId="0" borderId="0" xfId="0" applyProtection="1"/>
    <xf numFmtId="14" fontId="0" fillId="2" borderId="0" xfId="0" applyNumberFormat="1" applyFill="1" applyBorder="1" applyAlignment="1">
      <alignment horizontal="center" vertical="center"/>
    </xf>
    <xf numFmtId="14" fontId="0" fillId="2" borderId="0" xfId="0" applyNumberFormat="1" applyFill="1" applyBorder="1" applyAlignment="1">
      <alignment horizontal="center"/>
    </xf>
    <xf numFmtId="1" fontId="0" fillId="2" borderId="0" xfId="0" applyNumberFormat="1" applyFill="1" applyBorder="1" applyAlignment="1">
      <alignment horizontal="center"/>
    </xf>
    <xf numFmtId="0" fontId="0" fillId="2" borderId="9" xfId="0" applyFill="1" applyBorder="1" applyAlignment="1">
      <alignment horizontal="center" vertical="center"/>
    </xf>
    <xf numFmtId="0" fontId="0" fillId="0" borderId="0" xfId="0" applyAlignment="1" applyProtection="1">
      <alignment wrapText="1"/>
      <protection locked="0"/>
    </xf>
    <xf numFmtId="49" fontId="0" fillId="0" borderId="0" xfId="0" applyNumberFormat="1" applyAlignment="1" applyProtection="1">
      <alignment horizontal="left" vertical="top" wrapText="1"/>
      <protection locked="0"/>
    </xf>
    <xf numFmtId="0" fontId="0" fillId="0" borderId="3" xfId="0" applyBorder="1" applyAlignment="1">
      <alignment horizontal="left" vertical="center"/>
    </xf>
    <xf numFmtId="0" fontId="0" fillId="0" borderId="0" xfId="0" applyAlignment="1"/>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left" vertical="center"/>
      <protection locked="0"/>
    </xf>
    <xf numFmtId="0" fontId="13" fillId="0" borderId="0" xfId="0" applyFont="1" applyBorder="1" applyAlignment="1" applyProtection="1">
      <alignment horizontal="center" vertical="center"/>
    </xf>
    <xf numFmtId="0" fontId="6" fillId="11" borderId="1" xfId="0" applyFont="1" applyFill="1" applyBorder="1" applyAlignment="1">
      <alignment horizontal="left" vertical="center"/>
    </xf>
    <xf numFmtId="0" fontId="6" fillId="11" borderId="1" xfId="0" applyFont="1" applyFill="1" applyBorder="1" applyAlignment="1">
      <alignment vertical="top"/>
    </xf>
    <xf numFmtId="0" fontId="6" fillId="2" borderId="1" xfId="0" applyFont="1" applyFill="1" applyBorder="1" applyAlignment="1">
      <alignment wrapText="1"/>
    </xf>
    <xf numFmtId="0" fontId="6" fillId="2" borderId="1" xfId="0" applyFont="1" applyFill="1" applyBorder="1" applyAlignment="1">
      <alignment horizontal="left"/>
    </xf>
    <xf numFmtId="0" fontId="4" fillId="2" borderId="1" xfId="0" applyFont="1" applyFill="1" applyBorder="1" applyAlignment="1">
      <alignment horizontal="left"/>
    </xf>
    <xf numFmtId="0" fontId="4" fillId="2" borderId="3" xfId="0" applyFont="1" applyFill="1" applyBorder="1" applyAlignment="1">
      <alignment horizontal="left"/>
    </xf>
    <xf numFmtId="0" fontId="12" fillId="0" borderId="0" xfId="0" applyFont="1" applyAlignment="1">
      <alignment horizontal="right"/>
    </xf>
    <xf numFmtId="0" fontId="36" fillId="0" borderId="0" xfId="0" applyFont="1" applyAlignment="1">
      <alignment vertical="center"/>
    </xf>
    <xf numFmtId="0" fontId="31" fillId="2" borderId="0" xfId="5" applyFill="1" applyBorder="1"/>
    <xf numFmtId="0" fontId="0" fillId="2" borderId="1" xfId="0" applyFill="1" applyBorder="1" applyAlignment="1">
      <alignment horizontal="right" vertical="center" wrapText="1"/>
    </xf>
    <xf numFmtId="0" fontId="6" fillId="2" borderId="1" xfId="0" applyFont="1" applyFill="1" applyBorder="1" applyAlignment="1">
      <alignment vertical="top"/>
    </xf>
    <xf numFmtId="0" fontId="0" fillId="0" borderId="62" xfId="0" applyBorder="1" applyAlignment="1">
      <alignment horizontal="center" vertical="center"/>
    </xf>
    <xf numFmtId="0" fontId="0" fillId="0" borderId="63" xfId="0" applyBorder="1" applyAlignment="1">
      <alignment horizontal="center" vertical="center"/>
    </xf>
    <xf numFmtId="170" fontId="0" fillId="0" borderId="63" xfId="0" applyNumberFormat="1" applyBorder="1" applyAlignment="1">
      <alignment horizontal="center" vertical="center"/>
    </xf>
    <xf numFmtId="0" fontId="0" fillId="0" borderId="64" xfId="0" applyBorder="1" applyAlignment="1">
      <alignment wrapText="1"/>
    </xf>
    <xf numFmtId="0" fontId="0" fillId="0" borderId="65" xfId="0" applyBorder="1" applyAlignment="1">
      <alignment wrapText="1"/>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68" xfId="0" applyFont="1" applyBorder="1" applyAlignment="1">
      <alignment horizontal="center"/>
    </xf>
    <xf numFmtId="0" fontId="40" fillId="0" borderId="0" xfId="6" applyAlignment="1">
      <alignment vertical="top"/>
    </xf>
    <xf numFmtId="0" fontId="22" fillId="0" borderId="0" xfId="6" applyFont="1" applyAlignment="1">
      <alignment vertical="top" wrapText="1"/>
    </xf>
    <xf numFmtId="0" fontId="40" fillId="0" borderId="0" xfId="6"/>
    <xf numFmtId="0" fontId="41" fillId="0" borderId="0" xfId="6" applyFont="1" applyAlignment="1">
      <alignment vertical="top"/>
    </xf>
    <xf numFmtId="0" fontId="40" fillId="0" borderId="0" xfId="6" applyAlignment="1">
      <alignment vertical="top" wrapText="1"/>
    </xf>
    <xf numFmtId="0" fontId="42" fillId="0" borderId="49" xfId="6" applyFont="1" applyBorder="1" applyAlignment="1">
      <alignment horizontal="center" vertical="top" wrapText="1"/>
    </xf>
    <xf numFmtId="0" fontId="43" fillId="0" borderId="50" xfId="6" applyFont="1" applyBorder="1" applyAlignment="1">
      <alignment vertical="top" wrapText="1"/>
    </xf>
    <xf numFmtId="0" fontId="45" fillId="0" borderId="53" xfId="7" applyFont="1" applyBorder="1" applyAlignment="1" applyProtection="1">
      <alignment horizontal="center" vertical="top" wrapText="1"/>
    </xf>
    <xf numFmtId="0" fontId="43" fillId="0" borderId="54" xfId="6" applyFont="1" applyBorder="1" applyAlignment="1">
      <alignment horizontal="left" vertical="top" wrapText="1"/>
    </xf>
    <xf numFmtId="0" fontId="44" fillId="0" borderId="0" xfId="7" applyBorder="1" applyAlignment="1" applyProtection="1">
      <alignment horizontal="center" vertical="top" wrapText="1"/>
    </xf>
    <xf numFmtId="0" fontId="43" fillId="0" borderId="0" xfId="6" applyFont="1" applyAlignment="1">
      <alignment horizontal="left" vertical="top" wrapText="1"/>
    </xf>
    <xf numFmtId="0" fontId="40" fillId="0" borderId="0" xfId="6" applyAlignment="1">
      <alignment wrapText="1"/>
    </xf>
    <xf numFmtId="14" fontId="41" fillId="0" borderId="0" xfId="6" applyNumberFormat="1" applyFont="1" applyAlignment="1">
      <alignment vertical="top"/>
    </xf>
    <xf numFmtId="0" fontId="41" fillId="0" borderId="0" xfId="6" applyFont="1" applyAlignment="1">
      <alignment horizontal="left" wrapText="1"/>
    </xf>
    <xf numFmtId="14" fontId="40" fillId="0" borderId="0" xfId="6" applyNumberFormat="1" applyAlignment="1">
      <alignment vertical="top"/>
    </xf>
    <xf numFmtId="0" fontId="40" fillId="0" borderId="69" xfId="6" applyBorder="1" applyAlignment="1">
      <alignment vertical="center" wrapText="1"/>
    </xf>
    <xf numFmtId="0" fontId="48" fillId="0" borderId="70" xfId="6" applyFont="1" applyBorder="1" applyAlignment="1">
      <alignment vertical="center" wrapText="1"/>
    </xf>
    <xf numFmtId="0" fontId="40" fillId="0" borderId="70" xfId="6" applyBorder="1" applyAlignment="1">
      <alignment vertical="center" wrapText="1"/>
    </xf>
    <xf numFmtId="0" fontId="49" fillId="0" borderId="71" xfId="6" applyFont="1" applyBorder="1" applyAlignment="1">
      <alignment vertical="center" wrapText="1"/>
    </xf>
    <xf numFmtId="0" fontId="0" fillId="0" borderId="73" xfId="0" applyBorder="1" applyAlignment="1">
      <alignment horizontal="center" vertical="center"/>
    </xf>
    <xf numFmtId="0" fontId="0" fillId="0" borderId="74" xfId="0" applyBorder="1" applyAlignment="1">
      <alignment wrapText="1"/>
    </xf>
    <xf numFmtId="0" fontId="14" fillId="4" borderId="28" xfId="0" applyFont="1" applyFill="1" applyBorder="1" applyAlignment="1">
      <alignment horizontal="center" vertical="center" wrapText="1"/>
    </xf>
    <xf numFmtId="0" fontId="14" fillId="12" borderId="43" xfId="0" applyFont="1" applyFill="1" applyBorder="1" applyAlignment="1">
      <alignment horizontal="center" vertical="center" wrapText="1"/>
    </xf>
    <xf numFmtId="0" fontId="5" fillId="12" borderId="23" xfId="0" applyFont="1" applyFill="1" applyBorder="1" applyAlignment="1">
      <alignment horizontal="center" vertical="center" wrapText="1"/>
    </xf>
    <xf numFmtId="0" fontId="5" fillId="12" borderId="32" xfId="0" applyFont="1" applyFill="1" applyBorder="1" applyAlignment="1">
      <alignment horizontal="center" vertical="center" wrapText="1"/>
    </xf>
    <xf numFmtId="0" fontId="5" fillId="12" borderId="33" xfId="0" applyFont="1" applyFill="1" applyBorder="1" applyAlignment="1">
      <alignment horizontal="center" vertical="center" wrapText="1"/>
    </xf>
    <xf numFmtId="0" fontId="13" fillId="13" borderId="42" xfId="0" applyFont="1" applyFill="1" applyBorder="1" applyAlignment="1">
      <alignment horizontal="center" vertical="center" wrapText="1"/>
    </xf>
    <xf numFmtId="0" fontId="5" fillId="13" borderId="30" xfId="0" applyFont="1" applyFill="1" applyBorder="1" applyAlignment="1">
      <alignment horizontal="center" vertical="center" wrapText="1"/>
    </xf>
    <xf numFmtId="0" fontId="5" fillId="13" borderId="31" xfId="0" applyFont="1" applyFill="1" applyBorder="1" applyAlignment="1">
      <alignment horizontal="left" vertical="center" wrapText="1"/>
    </xf>
    <xf numFmtId="0" fontId="14" fillId="14" borderId="42" xfId="0" applyFont="1" applyFill="1" applyBorder="1" applyAlignment="1">
      <alignment horizontal="center" vertical="center"/>
    </xf>
    <xf numFmtId="0" fontId="5" fillId="14" borderId="30" xfId="0" applyFont="1" applyFill="1" applyBorder="1" applyAlignment="1">
      <alignment horizontal="center" vertical="center" wrapText="1"/>
    </xf>
    <xf numFmtId="0" fontId="5" fillId="14" borderId="31" xfId="0" applyFont="1" applyFill="1" applyBorder="1" applyAlignment="1">
      <alignment horizontal="left" vertical="center" wrapText="1"/>
    </xf>
    <xf numFmtId="0" fontId="42" fillId="0" borderId="0" xfId="6" applyFont="1" applyBorder="1" applyAlignment="1">
      <alignment horizontal="center"/>
    </xf>
    <xf numFmtId="0" fontId="46" fillId="0" borderId="0" xfId="6" applyFont="1" applyBorder="1" applyAlignment="1">
      <alignment horizontal="center" vertical="top" wrapText="1"/>
    </xf>
    <xf numFmtId="0" fontId="40" fillId="0" borderId="0" xfId="6" applyFont="1" applyBorder="1" applyAlignment="1">
      <alignment horizontal="center" vertical="top"/>
    </xf>
    <xf numFmtId="0" fontId="22" fillId="0" borderId="0" xfId="6" applyFont="1" applyBorder="1" applyAlignment="1">
      <alignment vertical="top" wrapText="1"/>
    </xf>
    <xf numFmtId="0" fontId="42" fillId="0" borderId="0" xfId="6" applyFont="1" applyBorder="1" applyAlignment="1">
      <alignment horizontal="center" vertical="top"/>
    </xf>
    <xf numFmtId="0" fontId="40" fillId="0" borderId="0" xfId="6" applyBorder="1" applyAlignment="1">
      <alignment wrapText="1"/>
    </xf>
    <xf numFmtId="0" fontId="40" fillId="0" borderId="0" xfId="6" applyBorder="1"/>
    <xf numFmtId="0" fontId="0" fillId="0" borderId="0" xfId="0" applyBorder="1"/>
    <xf numFmtId="0" fontId="0" fillId="0" borderId="0" xfId="0" applyBorder="1" applyAlignment="1">
      <alignment horizontal="left" vertical="top" wrapText="1"/>
    </xf>
    <xf numFmtId="0" fontId="0" fillId="0" borderId="0" xfId="0" applyBorder="1" applyAlignment="1">
      <alignment wrapText="1"/>
    </xf>
    <xf numFmtId="0" fontId="40" fillId="0" borderId="0" xfId="0" applyFont="1" applyBorder="1" applyAlignment="1">
      <alignment horizontal="center" vertical="top"/>
    </xf>
    <xf numFmtId="0" fontId="22" fillId="0" borderId="0" xfId="0" applyFont="1" applyBorder="1" applyAlignment="1">
      <alignment vertical="top" wrapText="1"/>
    </xf>
    <xf numFmtId="0" fontId="22" fillId="0" borderId="0" xfId="0" applyFont="1" applyAlignment="1">
      <alignment vertical="top" wrapText="1"/>
    </xf>
    <xf numFmtId="0" fontId="41" fillId="0" borderId="0" xfId="6" applyFont="1" applyAlignment="1">
      <alignment horizontal="center" vertical="top"/>
    </xf>
    <xf numFmtId="0" fontId="0" fillId="2" borderId="1" xfId="0" applyFill="1" applyBorder="1" applyAlignment="1">
      <alignment horizontal="center" vertical="center"/>
    </xf>
    <xf numFmtId="0" fontId="30" fillId="0" borderId="0" xfId="0" applyFont="1" applyBorder="1" applyAlignment="1">
      <alignment horizontal="left"/>
    </xf>
    <xf numFmtId="0" fontId="0" fillId="2" borderId="12" xfId="0" applyFill="1" applyBorder="1" applyAlignment="1">
      <alignment horizontal="center" vertical="center"/>
    </xf>
    <xf numFmtId="0" fontId="0" fillId="2" borderId="4" xfId="0" applyFill="1" applyBorder="1" applyAlignment="1">
      <alignment horizontal="center" vertical="center"/>
    </xf>
    <xf numFmtId="168" fontId="5" fillId="0" borderId="0" xfId="3" quotePrefix="1" applyFont="1" applyBorder="1" applyAlignment="1" applyProtection="1">
      <alignment horizontal="left" vertical="top" wrapText="1"/>
    </xf>
    <xf numFmtId="168" fontId="7" fillId="0" borderId="0" xfId="3" applyFont="1" applyAlignment="1" applyProtection="1">
      <alignment horizontal="right" vertical="top" wrapText="1"/>
    </xf>
    <xf numFmtId="168" fontId="5" fillId="0" borderId="0" xfId="3" applyFont="1" applyAlignment="1" applyProtection="1">
      <alignment horizontal="left" vertical="top"/>
    </xf>
    <xf numFmtId="0" fontId="35" fillId="0" borderId="0" xfId="0" applyFont="1" applyAlignment="1">
      <alignment vertical="center" wrapText="1"/>
    </xf>
    <xf numFmtId="0" fontId="36" fillId="0" borderId="22" xfId="0" applyFont="1" applyBorder="1" applyAlignment="1">
      <alignment vertical="center" wrapText="1"/>
    </xf>
    <xf numFmtId="0" fontId="35" fillId="0" borderId="15" xfId="0" applyFont="1" applyBorder="1" applyAlignment="1">
      <alignment vertical="center" wrapText="1"/>
    </xf>
    <xf numFmtId="0" fontId="36" fillId="0" borderId="16" xfId="0" applyFont="1" applyBorder="1" applyAlignment="1">
      <alignment vertical="center" wrapText="1"/>
    </xf>
    <xf numFmtId="0" fontId="35" fillId="0" borderId="16" xfId="0" applyFont="1" applyBorder="1" applyAlignment="1">
      <alignment vertical="center" wrapText="1"/>
    </xf>
    <xf numFmtId="0" fontId="36" fillId="0" borderId="17" xfId="0" applyFont="1" applyBorder="1" applyAlignment="1">
      <alignment vertical="center" wrapText="1"/>
    </xf>
    <xf numFmtId="0" fontId="52" fillId="0" borderId="15" xfId="0" applyFont="1" applyBorder="1" applyAlignment="1" applyProtection="1">
      <alignment vertical="top" wrapText="1"/>
      <protection locked="0"/>
    </xf>
    <xf numFmtId="0" fontId="22" fillId="0" borderId="0" xfId="0" applyFont="1"/>
    <xf numFmtId="0" fontId="52" fillId="0" borderId="22" xfId="0" applyFont="1" applyBorder="1" applyAlignment="1">
      <alignment horizontal="center" vertical="top" wrapText="1"/>
    </xf>
    <xf numFmtId="0" fontId="53" fillId="0" borderId="60" xfId="0" applyFont="1" applyBorder="1" applyAlignment="1">
      <alignment vertical="top" wrapText="1"/>
    </xf>
    <xf numFmtId="0" fontId="54" fillId="0" borderId="60" xfId="0" applyFont="1" applyBorder="1" applyAlignment="1" applyProtection="1">
      <alignment horizontal="center" vertical="center" wrapText="1"/>
      <protection locked="0"/>
    </xf>
    <xf numFmtId="0" fontId="41" fillId="0" borderId="0" xfId="0" applyFont="1"/>
    <xf numFmtId="0" fontId="53" fillId="0" borderId="22" xfId="0" applyFont="1" applyBorder="1" applyAlignment="1">
      <alignment wrapText="1"/>
    </xf>
    <xf numFmtId="0" fontId="54" fillId="0" borderId="22" xfId="0" applyFont="1" applyBorder="1" applyAlignment="1" applyProtection="1">
      <alignment horizontal="center" vertical="center" wrapText="1"/>
      <protection locked="0"/>
    </xf>
    <xf numFmtId="0" fontId="53" fillId="0" borderId="20" xfId="0" applyFont="1" applyBorder="1" applyAlignment="1">
      <alignment horizontal="left" wrapText="1"/>
    </xf>
    <xf numFmtId="0" fontId="53" fillId="0" borderId="0" xfId="0" applyFont="1" applyAlignment="1">
      <alignment horizontal="left" wrapText="1"/>
    </xf>
    <xf numFmtId="0" fontId="53" fillId="0" borderId="0" xfId="0" applyFont="1" applyAlignment="1">
      <alignment horizontal="right" wrapText="1"/>
    </xf>
    <xf numFmtId="0" fontId="53" fillId="0" borderId="0" xfId="0" applyFont="1" applyAlignment="1">
      <alignment horizontal="center" wrapText="1"/>
    </xf>
    <xf numFmtId="10" fontId="53" fillId="0" borderId="0" xfId="0" applyNumberFormat="1" applyFont="1" applyAlignment="1">
      <alignment horizontal="center" wrapText="1"/>
    </xf>
    <xf numFmtId="0" fontId="22" fillId="0" borderId="0" xfId="0" applyFont="1" applyAlignment="1">
      <alignment wrapText="1"/>
    </xf>
    <xf numFmtId="0" fontId="22" fillId="0" borderId="10" xfId="0" applyFont="1" applyBorder="1" applyAlignment="1" applyProtection="1">
      <alignment wrapText="1"/>
      <protection locked="0"/>
    </xf>
    <xf numFmtId="0" fontId="22" fillId="0" borderId="0" xfId="0" applyFont="1" applyAlignment="1" applyProtection="1">
      <alignment horizontal="center" vertical="center" wrapText="1"/>
      <protection locked="0"/>
    </xf>
    <xf numFmtId="0" fontId="53" fillId="0" borderId="0" xfId="0" applyFont="1" applyAlignment="1">
      <alignment wrapText="1"/>
    </xf>
    <xf numFmtId="0" fontId="53" fillId="0" borderId="0" xfId="0" applyFont="1" applyAlignment="1" applyProtection="1">
      <alignment horizontal="center" vertical="center" wrapText="1"/>
      <protection locked="0"/>
    </xf>
    <xf numFmtId="0" fontId="22" fillId="0" borderId="0" xfId="0" applyFont="1" applyAlignment="1" applyProtection="1">
      <alignment wrapText="1"/>
      <protection locked="0"/>
    </xf>
    <xf numFmtId="0" fontId="52" fillId="0" borderId="48" xfId="0" applyFont="1" applyBorder="1" applyAlignment="1">
      <alignment horizontal="center" vertical="center" textRotation="90" wrapText="1"/>
    </xf>
    <xf numFmtId="0" fontId="53" fillId="0" borderId="17" xfId="0" applyFont="1" applyBorder="1" applyAlignment="1" applyProtection="1">
      <alignment vertical="top" wrapText="1"/>
      <protection locked="0"/>
    </xf>
    <xf numFmtId="0" fontId="52" fillId="0" borderId="17" xfId="0" applyFont="1" applyBorder="1" applyAlignment="1">
      <alignment horizontal="center" vertical="top" wrapText="1"/>
    </xf>
    <xf numFmtId="14" fontId="53" fillId="0" borderId="15" xfId="0" applyNumberFormat="1" applyFont="1" applyBorder="1" applyAlignment="1" applyProtection="1">
      <alignment horizontal="left" vertical="top" wrapText="1"/>
      <protection locked="0"/>
    </xf>
    <xf numFmtId="0" fontId="13" fillId="0" borderId="0" xfId="0" applyFont="1"/>
    <xf numFmtId="0" fontId="11" fillId="0" borderId="0" xfId="0" applyFont="1"/>
    <xf numFmtId="0" fontId="13" fillId="0" borderId="0" xfId="0" applyFont="1" applyAlignment="1">
      <alignment vertical="top" wrapText="1"/>
    </xf>
    <xf numFmtId="0" fontId="11" fillId="0" borderId="0" xfId="0" applyFont="1" applyAlignment="1">
      <alignment horizontal="left" vertical="center" wrapText="1"/>
    </xf>
    <xf numFmtId="0" fontId="11" fillId="0" borderId="0" xfId="0" applyFont="1" applyAlignment="1">
      <alignment horizontal="left"/>
    </xf>
    <xf numFmtId="0" fontId="4" fillId="0" borderId="12" xfId="0" applyFont="1" applyBorder="1" applyAlignment="1"/>
    <xf numFmtId="0" fontId="0" fillId="0" borderId="12" xfId="0" applyBorder="1" applyAlignment="1">
      <alignment horizontal="right" wrapText="1"/>
    </xf>
    <xf numFmtId="0" fontId="6" fillId="2" borderId="1" xfId="0" applyFont="1" applyFill="1" applyBorder="1" applyAlignment="1">
      <alignment horizontal="center" vertical="center" wrapText="1"/>
    </xf>
    <xf numFmtId="0" fontId="0" fillId="0" borderId="63" xfId="0" applyNumberFormat="1" applyBorder="1" applyAlignment="1">
      <alignment horizontal="center" vertical="center"/>
    </xf>
    <xf numFmtId="0" fontId="0" fillId="0" borderId="72" xfId="0" applyNumberFormat="1" applyBorder="1" applyAlignment="1">
      <alignment horizontal="center" vertical="center"/>
    </xf>
    <xf numFmtId="0" fontId="6" fillId="0" borderId="7" xfId="0" applyFont="1" applyBorder="1" applyAlignment="1">
      <alignment horizontal="center"/>
    </xf>
    <xf numFmtId="0" fontId="22" fillId="0" borderId="0" xfId="0" applyFont="1" applyAlignment="1" applyProtection="1">
      <alignment horizontal="right" wrapText="1"/>
      <protection locked="0"/>
    </xf>
    <xf numFmtId="0" fontId="56" fillId="0" borderId="0" xfId="0" applyFont="1" applyAlignment="1">
      <alignment wrapText="1"/>
    </xf>
    <xf numFmtId="0" fontId="52" fillId="0" borderId="15" xfId="0" applyFont="1" applyBorder="1" applyAlignment="1" applyProtection="1">
      <alignment horizontal="right" vertical="top" wrapText="1"/>
      <protection locked="0"/>
    </xf>
    <xf numFmtId="0" fontId="42" fillId="0" borderId="0" xfId="0" applyFont="1" applyAlignment="1">
      <alignment horizontal="left"/>
    </xf>
    <xf numFmtId="0" fontId="58" fillId="0" borderId="0" xfId="0" applyFont="1"/>
    <xf numFmtId="0" fontId="42" fillId="0" borderId="76" xfId="0" applyFont="1" applyBorder="1"/>
    <xf numFmtId="0" fontId="59" fillId="0" borderId="0" xfId="0" applyFont="1"/>
    <xf numFmtId="0" fontId="59" fillId="0" borderId="76" xfId="0" applyFont="1" applyBorder="1"/>
    <xf numFmtId="0" fontId="42" fillId="0" borderId="5" xfId="0" applyFont="1" applyBorder="1"/>
    <xf numFmtId="0" fontId="58" fillId="0" borderId="77" xfId="0" applyFont="1" applyBorder="1"/>
    <xf numFmtId="0" fontId="40" fillId="0" borderId="77" xfId="0" applyFont="1" applyBorder="1"/>
    <xf numFmtId="0" fontId="58" fillId="0" borderId="80" xfId="0" applyFont="1" applyBorder="1"/>
    <xf numFmtId="0" fontId="40" fillId="0" borderId="82" xfId="0" applyFont="1" applyBorder="1" applyAlignment="1">
      <alignment horizontal="center"/>
    </xf>
    <xf numFmtId="0" fontId="58" fillId="0" borderId="77" xfId="0" applyFont="1" applyBorder="1" applyAlignment="1">
      <alignment vertical="center"/>
    </xf>
    <xf numFmtId="0" fontId="58" fillId="0" borderId="0" xfId="0" applyFont="1" applyAlignment="1">
      <alignment vertical="center"/>
    </xf>
    <xf numFmtId="0" fontId="61" fillId="0" borderId="84" xfId="0" applyFont="1" applyBorder="1" applyAlignment="1">
      <alignment horizontal="center"/>
    </xf>
    <xf numFmtId="0" fontId="0" fillId="0" borderId="80" xfId="0" applyBorder="1"/>
    <xf numFmtId="0" fontId="58" fillId="0" borderId="80" xfId="0" applyFont="1" applyBorder="1" applyAlignment="1">
      <alignment vertical="center"/>
    </xf>
    <xf numFmtId="0" fontId="40" fillId="0" borderId="77" xfId="0" applyFont="1" applyBorder="1" applyAlignment="1">
      <alignment horizontal="left"/>
    </xf>
    <xf numFmtId="0" fontId="17" fillId="0" borderId="77" xfId="0" applyFont="1" applyBorder="1" applyAlignment="1">
      <alignment vertical="center"/>
    </xf>
    <xf numFmtId="0" fontId="40" fillId="0" borderId="80" xfId="0" applyFont="1" applyBorder="1"/>
    <xf numFmtId="0" fontId="17" fillId="0" borderId="85" xfId="0" applyFont="1" applyBorder="1" applyAlignment="1">
      <alignment vertical="center"/>
    </xf>
    <xf numFmtId="0" fontId="40" fillId="0" borderId="77" xfId="0" applyFont="1" applyBorder="1" applyAlignment="1">
      <alignment horizontal="center"/>
    </xf>
    <xf numFmtId="0" fontId="0" fillId="0" borderId="77" xfId="0" applyBorder="1"/>
    <xf numFmtId="0" fontId="0" fillId="0" borderId="80" xfId="0" applyBorder="1" applyAlignment="1">
      <alignment vertical="center"/>
    </xf>
    <xf numFmtId="0" fontId="0" fillId="0" borderId="77" xfId="0" applyBorder="1" applyAlignment="1">
      <alignment vertical="center"/>
    </xf>
    <xf numFmtId="0" fontId="40" fillId="0" borderId="86" xfId="0" applyFont="1" applyBorder="1" applyAlignment="1">
      <alignment horizontal="center"/>
    </xf>
    <xf numFmtId="0" fontId="40" fillId="0" borderId="68" xfId="0" applyFont="1" applyBorder="1" applyAlignment="1">
      <alignment horizontal="left"/>
    </xf>
    <xf numFmtId="0" fontId="61" fillId="0" borderId="87" xfId="0" applyFont="1" applyBorder="1" applyAlignment="1">
      <alignment horizontal="center"/>
    </xf>
    <xf numFmtId="0" fontId="40" fillId="0" borderId="88" xfId="0" applyFont="1" applyBorder="1"/>
    <xf numFmtId="0" fontId="42" fillId="0" borderId="83" xfId="0" applyFont="1" applyBorder="1" applyAlignment="1">
      <alignment horizontal="center"/>
    </xf>
    <xf numFmtId="0" fontId="0" fillId="0" borderId="83" xfId="0" applyBorder="1" applyAlignment="1">
      <alignment vertical="center"/>
    </xf>
    <xf numFmtId="0" fontId="40" fillId="0" borderId="89" xfId="0" applyFont="1" applyBorder="1" applyAlignment="1">
      <alignment horizontal="center"/>
    </xf>
    <xf numFmtId="0" fontId="40" fillId="0" borderId="53" xfId="0" applyFont="1" applyBorder="1" applyAlignment="1">
      <alignment horizontal="center"/>
    </xf>
    <xf numFmtId="0" fontId="40" fillId="0" borderId="80" xfId="0" applyFont="1" applyBorder="1" applyAlignment="1">
      <alignment horizontal="center"/>
    </xf>
    <xf numFmtId="0" fontId="40" fillId="0" borderId="0" xfId="0" applyFont="1" applyBorder="1" applyAlignment="1">
      <alignment horizontal="center"/>
    </xf>
    <xf numFmtId="0" fontId="40" fillId="0" borderId="64" xfId="0" applyFont="1" applyBorder="1" applyAlignment="1">
      <alignment horizontal="left"/>
    </xf>
    <xf numFmtId="0" fontId="40" fillId="0" borderId="65" xfId="0" applyFont="1" applyBorder="1" applyAlignment="1">
      <alignment horizontal="left"/>
    </xf>
    <xf numFmtId="0" fontId="40" fillId="0" borderId="90" xfId="0" applyFont="1" applyBorder="1" applyAlignment="1">
      <alignment horizontal="left"/>
    </xf>
    <xf numFmtId="0" fontId="40" fillId="0" borderId="76" xfId="0" applyFont="1" applyBorder="1" applyAlignment="1">
      <alignment horizontal="center"/>
    </xf>
    <xf numFmtId="0" fontId="40" fillId="0" borderId="88" xfId="0" applyFont="1" applyBorder="1" applyAlignment="1">
      <alignment horizontal="center"/>
    </xf>
    <xf numFmtId="0" fontId="6" fillId="0" borderId="93" xfId="0" applyFont="1" applyFill="1" applyBorder="1" applyAlignment="1">
      <alignment horizontal="center" vertical="center" wrapText="1"/>
    </xf>
    <xf numFmtId="0" fontId="58" fillId="0" borderId="0" xfId="0" applyFont="1" applyBorder="1" applyAlignment="1">
      <alignment vertical="center"/>
    </xf>
    <xf numFmtId="0" fontId="0" fillId="0" borderId="0" xfId="0" applyBorder="1" applyAlignment="1">
      <alignment vertical="center"/>
    </xf>
    <xf numFmtId="0" fontId="7" fillId="0" borderId="0" xfId="0" applyFont="1" applyAlignment="1">
      <alignment vertical="center"/>
    </xf>
    <xf numFmtId="0" fontId="58" fillId="0" borderId="0" xfId="0" applyFont="1" applyAlignment="1">
      <alignment horizontal="center"/>
    </xf>
    <xf numFmtId="0" fontId="59" fillId="0" borderId="77" xfId="0" applyFont="1" applyBorder="1"/>
    <xf numFmtId="0" fontId="58" fillId="0" borderId="77" xfId="0" applyFont="1" applyBorder="1" applyAlignment="1">
      <alignment horizontal="center"/>
    </xf>
    <xf numFmtId="0" fontId="58" fillId="0" borderId="83" xfId="0" applyFont="1" applyBorder="1"/>
    <xf numFmtId="0" fontId="59" fillId="0" borderId="81" xfId="0" applyFont="1" applyBorder="1"/>
    <xf numFmtId="0" fontId="58" fillId="0" borderId="76" xfId="0" applyFont="1" applyBorder="1"/>
    <xf numFmtId="0" fontId="40" fillId="0" borderId="83" xfId="0" applyFont="1" applyBorder="1" applyAlignment="1">
      <alignment horizontal="center"/>
    </xf>
    <xf numFmtId="0" fontId="17" fillId="0" borderId="0" xfId="0" applyFont="1" applyBorder="1" applyAlignment="1">
      <alignment vertical="center"/>
    </xf>
    <xf numFmtId="0" fontId="0" fillId="0" borderId="0" xfId="0" quotePrefix="1" applyBorder="1"/>
    <xf numFmtId="9" fontId="0" fillId="0" borderId="0" xfId="0" quotePrefix="1" applyNumberFormat="1" applyBorder="1"/>
    <xf numFmtId="0" fontId="17" fillId="0" borderId="0" xfId="0" applyFont="1" applyFill="1" applyBorder="1" applyAlignment="1">
      <alignment vertical="center"/>
    </xf>
    <xf numFmtId="0" fontId="58" fillId="0" borderId="0" xfId="0" applyFont="1" applyAlignment="1"/>
    <xf numFmtId="0" fontId="6" fillId="0" borderId="93" xfId="0" applyFont="1" applyFill="1" applyBorder="1" applyAlignment="1">
      <alignment vertical="center" wrapText="1"/>
    </xf>
    <xf numFmtId="0" fontId="40" fillId="0" borderId="0" xfId="0" applyFont="1" applyBorder="1" applyAlignment="1"/>
    <xf numFmtId="0" fontId="40" fillId="0" borderId="76" xfId="0" applyFont="1" applyBorder="1" applyAlignment="1"/>
    <xf numFmtId="0" fontId="0" fillId="9" borderId="1" xfId="0" applyFill="1" applyBorder="1" applyAlignment="1" applyProtection="1">
      <alignment horizontal="left" vertical="top" wrapText="1"/>
    </xf>
    <xf numFmtId="0" fontId="0" fillId="0" borderId="84" xfId="0" applyBorder="1"/>
    <xf numFmtId="0" fontId="42" fillId="0" borderId="86" xfId="0" applyFont="1" applyBorder="1" applyAlignment="1">
      <alignment horizontal="center"/>
    </xf>
    <xf numFmtId="0" fontId="42" fillId="0" borderId="82" xfId="0" applyFont="1" applyBorder="1" applyAlignment="1">
      <alignment horizontal="center"/>
    </xf>
    <xf numFmtId="0" fontId="40" fillId="0" borderId="102" xfId="0" applyFont="1" applyBorder="1" applyAlignment="1">
      <alignment horizontal="left"/>
    </xf>
    <xf numFmtId="0" fontId="40" fillId="0" borderId="59" xfId="0" applyFont="1" applyBorder="1" applyAlignment="1">
      <alignment horizontal="center"/>
    </xf>
    <xf numFmtId="0" fontId="40" fillId="0" borderId="59" xfId="0" applyFont="1" applyBorder="1" applyAlignment="1"/>
    <xf numFmtId="0" fontId="40" fillId="0" borderId="104" xfId="0" applyFont="1" applyBorder="1" applyAlignment="1">
      <alignment horizontal="center"/>
    </xf>
    <xf numFmtId="0" fontId="40" fillId="0" borderId="103" xfId="0" applyFont="1" applyBorder="1" applyAlignment="1">
      <alignment horizontal="center"/>
    </xf>
    <xf numFmtId="0" fontId="41" fillId="0" borderId="106" xfId="0" applyFont="1" applyBorder="1" applyAlignment="1">
      <alignment horizontal="center" wrapText="1"/>
    </xf>
    <xf numFmtId="0" fontId="42" fillId="0" borderId="94" xfId="0" applyFont="1" applyBorder="1" applyAlignment="1">
      <alignment horizontal="left"/>
    </xf>
    <xf numFmtId="0" fontId="42" fillId="0" borderId="105" xfId="0" applyFont="1" applyBorder="1" applyAlignment="1">
      <alignment horizontal="left"/>
    </xf>
    <xf numFmtId="0" fontId="60" fillId="0" borderId="105" xfId="0" applyFont="1" applyBorder="1" applyAlignment="1">
      <alignment vertical="center"/>
    </xf>
    <xf numFmtId="0" fontId="58" fillId="0" borderId="105" xfId="0" applyFont="1" applyBorder="1"/>
    <xf numFmtId="0" fontId="63" fillId="0" borderId="0" xfId="0" applyFont="1"/>
    <xf numFmtId="0" fontId="0" fillId="0" borderId="107" xfId="0" applyBorder="1"/>
    <xf numFmtId="0" fontId="0" fillId="0" borderId="79" xfId="0" applyBorder="1"/>
    <xf numFmtId="0" fontId="0" fillId="9" borderId="1" xfId="0" applyFill="1" applyBorder="1" applyAlignment="1" applyProtection="1">
      <alignment horizontal="left" wrapText="1"/>
    </xf>
    <xf numFmtId="166" fontId="0" fillId="9" borderId="1" xfId="0" applyNumberFormat="1" applyFill="1" applyBorder="1" applyAlignment="1" applyProtection="1">
      <alignment horizontal="left" wrapText="1"/>
    </xf>
    <xf numFmtId="0" fontId="64" fillId="0" borderId="0" xfId="0" applyFont="1" applyAlignment="1">
      <alignment vertical="center"/>
    </xf>
    <xf numFmtId="0" fontId="64" fillId="0" borderId="59" xfId="0" applyFont="1" applyBorder="1" applyAlignment="1">
      <alignment vertical="center"/>
    </xf>
    <xf numFmtId="0" fontId="0" fillId="0" borderId="12" xfId="0" applyBorder="1" applyAlignment="1">
      <alignment horizontal="right" vertical="center"/>
    </xf>
    <xf numFmtId="0" fontId="0" fillId="7" borderId="0" xfId="0" applyFill="1" applyAlignment="1">
      <alignment vertical="center"/>
    </xf>
    <xf numFmtId="0" fontId="22" fillId="0" borderId="0" xfId="4" applyFill="1"/>
    <xf numFmtId="0" fontId="6" fillId="0" borderId="0" xfId="0" applyFont="1" applyAlignment="1">
      <alignment horizontal="left"/>
    </xf>
    <xf numFmtId="0" fontId="22" fillId="0" borderId="0" xfId="4" applyFill="1" applyBorder="1"/>
    <xf numFmtId="0" fontId="0" fillId="0" borderId="84" xfId="0" applyBorder="1" applyAlignment="1">
      <alignment horizontal="center"/>
    </xf>
    <xf numFmtId="0" fontId="0" fillId="0" borderId="87" xfId="0" applyBorder="1" applyAlignment="1">
      <alignment horizontal="center"/>
    </xf>
    <xf numFmtId="0" fontId="0" fillId="0" borderId="76" xfId="0" applyBorder="1"/>
    <xf numFmtId="0" fontId="0" fillId="0" borderId="88" xfId="0" applyBorder="1"/>
    <xf numFmtId="0" fontId="22" fillId="0" borderId="0" xfId="4" applyFill="1" applyAlignment="1">
      <alignment horizontal="center"/>
    </xf>
    <xf numFmtId="0" fontId="22" fillId="0" borderId="0" xfId="4" applyFill="1" applyAlignment="1">
      <alignment horizontal="left"/>
    </xf>
    <xf numFmtId="0" fontId="0" fillId="0" borderId="76" xfId="0" applyBorder="1" applyAlignment="1">
      <alignment horizontal="center"/>
    </xf>
    <xf numFmtId="0" fontId="22" fillId="0" borderId="84" xfId="4" applyFill="1" applyBorder="1" applyAlignment="1">
      <alignment horizontal="center"/>
    </xf>
    <xf numFmtId="0" fontId="22" fillId="0" borderId="0" xfId="4" applyFill="1" applyBorder="1" applyAlignment="1">
      <alignment horizontal="center"/>
    </xf>
    <xf numFmtId="0" fontId="0" fillId="0" borderId="108" xfId="0" applyBorder="1"/>
    <xf numFmtId="0" fontId="22" fillId="0" borderId="109" xfId="4" applyFill="1" applyBorder="1" applyAlignment="1">
      <alignment horizontal="center" vertical="center"/>
    </xf>
    <xf numFmtId="0" fontId="22" fillId="0" borderId="110" xfId="4" applyFill="1" applyBorder="1" applyAlignment="1">
      <alignment vertical="center" wrapText="1"/>
    </xf>
    <xf numFmtId="0" fontId="22" fillId="0" borderId="110" xfId="4" applyFill="1" applyBorder="1" applyAlignment="1">
      <alignment vertical="center"/>
    </xf>
    <xf numFmtId="0" fontId="22" fillId="0" borderId="110" xfId="4" applyFill="1" applyBorder="1" applyAlignment="1">
      <alignment horizontal="center" vertical="center"/>
    </xf>
    <xf numFmtId="0" fontId="22" fillId="0" borderId="111" xfId="4" applyFill="1" applyBorder="1" applyAlignment="1">
      <alignment vertical="center" wrapText="1"/>
    </xf>
    <xf numFmtId="0" fontId="22" fillId="0" borderId="112" xfId="4" applyFill="1" applyBorder="1" applyAlignment="1">
      <alignment vertical="center" wrapText="1"/>
    </xf>
    <xf numFmtId="0" fontId="22" fillId="0" borderId="112" xfId="4" applyFill="1" applyBorder="1" applyAlignment="1">
      <alignment vertical="center"/>
    </xf>
    <xf numFmtId="0" fontId="31" fillId="0" borderId="0" xfId="5" applyFill="1"/>
    <xf numFmtId="0" fontId="64" fillId="0" borderId="0" xfId="0" applyFont="1"/>
    <xf numFmtId="0" fontId="5" fillId="0" borderId="112" xfId="0" applyFont="1" applyBorder="1" applyAlignment="1">
      <alignment horizontal="center" vertical="center"/>
    </xf>
    <xf numFmtId="0" fontId="22" fillId="0" borderId="110" xfId="4" applyFill="1" applyBorder="1" applyAlignment="1">
      <alignment horizontal="center" vertical="center" wrapText="1"/>
    </xf>
    <xf numFmtId="164" fontId="0" fillId="9" borderId="1" xfId="1" applyNumberFormat="1" applyFont="1" applyFill="1" applyBorder="1" applyAlignment="1" applyProtection="1">
      <alignment horizontal="left" wrapText="1"/>
    </xf>
    <xf numFmtId="0" fontId="0" fillId="9" borderId="3" xfId="0" applyFill="1" applyBorder="1" applyAlignment="1" applyProtection="1">
      <alignment horizontal="left" wrapText="1"/>
    </xf>
    <xf numFmtId="0" fontId="0" fillId="0" borderId="77" xfId="0" applyBorder="1" applyAlignment="1">
      <alignment horizontal="left"/>
    </xf>
    <xf numFmtId="0" fontId="0" fillId="0" borderId="83" xfId="0" applyBorder="1" applyAlignment="1">
      <alignment horizontal="left"/>
    </xf>
    <xf numFmtId="0" fontId="42" fillId="0" borderId="0" xfId="0" applyFont="1" applyBorder="1"/>
    <xf numFmtId="0" fontId="58" fillId="0" borderId="0" xfId="0" applyFont="1" applyBorder="1"/>
    <xf numFmtId="0" fontId="60" fillId="0" borderId="0" xfId="0" applyFont="1" applyBorder="1" applyAlignment="1">
      <alignment vertical="center"/>
    </xf>
    <xf numFmtId="0" fontId="17" fillId="0" borderId="80" xfId="0" applyFont="1" applyBorder="1" applyAlignment="1">
      <alignment vertical="center"/>
    </xf>
    <xf numFmtId="0" fontId="6" fillId="0" borderId="115" xfId="0" applyFont="1" applyBorder="1" applyAlignment="1">
      <alignment horizontal="center"/>
    </xf>
    <xf numFmtId="0" fontId="0" fillId="0" borderId="113" xfId="0" applyBorder="1" applyAlignment="1">
      <alignment horizontal="center"/>
    </xf>
    <xf numFmtId="0" fontId="0" fillId="0" borderId="114" xfId="0" applyBorder="1" applyAlignment="1">
      <alignment horizontal="center"/>
    </xf>
    <xf numFmtId="0" fontId="17" fillId="0" borderId="80" xfId="0" applyFont="1" applyBorder="1" applyAlignment="1">
      <alignment horizontal="center" vertical="center"/>
    </xf>
    <xf numFmtId="0" fontId="17" fillId="0" borderId="88" xfId="0" applyFont="1" applyBorder="1" applyAlignment="1">
      <alignment horizontal="center" vertical="center"/>
    </xf>
    <xf numFmtId="0" fontId="60" fillId="0" borderId="94" xfId="0" applyFont="1" applyBorder="1" applyAlignment="1">
      <alignment horizontal="center" vertical="center"/>
    </xf>
    <xf numFmtId="0" fontId="60" fillId="0" borderId="0" xfId="0" applyFont="1" applyBorder="1" applyAlignment="1">
      <alignment horizontal="center" vertical="center"/>
    </xf>
    <xf numFmtId="0" fontId="17" fillId="0" borderId="0" xfId="0" applyFont="1" applyBorder="1" applyAlignment="1">
      <alignment horizontal="center" vertical="center"/>
    </xf>
    <xf numFmtId="0" fontId="0" fillId="0" borderId="77" xfId="0" applyBorder="1" applyAlignment="1">
      <alignment horizontal="center"/>
    </xf>
    <xf numFmtId="49" fontId="0" fillId="0" borderId="77" xfId="0" applyNumberFormat="1" applyBorder="1" applyAlignment="1">
      <alignment horizontal="center"/>
    </xf>
    <xf numFmtId="49" fontId="0" fillId="0" borderId="83" xfId="0" applyNumberFormat="1" applyBorder="1" applyAlignment="1">
      <alignment horizontal="center"/>
    </xf>
    <xf numFmtId="0" fontId="0" fillId="0" borderId="83" xfId="0" applyBorder="1" applyAlignment="1">
      <alignment horizontal="center"/>
    </xf>
    <xf numFmtId="0" fontId="0" fillId="0" borderId="83" xfId="0" applyBorder="1" applyAlignment="1">
      <alignment horizontal="center" vertical="center"/>
    </xf>
    <xf numFmtId="0" fontId="6" fillId="0" borderId="105" xfId="0" applyFont="1" applyBorder="1" applyAlignment="1">
      <alignment horizontal="center"/>
    </xf>
    <xf numFmtId="0" fontId="0" fillId="2" borderId="0" xfId="0" applyFill="1" applyBorder="1" applyAlignment="1">
      <alignment horizontal="left"/>
    </xf>
    <xf numFmtId="0" fontId="0" fillId="0" borderId="0" xfId="0" applyFill="1" applyBorder="1" applyAlignment="1">
      <alignment horizontal="left"/>
    </xf>
    <xf numFmtId="0" fontId="31" fillId="0" borderId="0" xfId="5" applyFill="1" applyBorder="1" applyAlignment="1">
      <alignment horizontal="left"/>
    </xf>
    <xf numFmtId="0" fontId="31" fillId="2" borderId="0" xfId="5" applyFill="1" applyBorder="1" applyAlignment="1">
      <alignment horizontal="left"/>
    </xf>
    <xf numFmtId="0" fontId="0" fillId="8" borderId="0" xfId="0" applyFill="1" applyBorder="1" applyProtection="1">
      <protection locked="0"/>
    </xf>
    <xf numFmtId="0" fontId="0" fillId="2" borderId="80" xfId="0" applyFill="1" applyBorder="1"/>
    <xf numFmtId="0" fontId="0" fillId="8" borderId="80" xfId="0" applyFill="1" applyBorder="1" applyProtection="1">
      <protection locked="0"/>
    </xf>
    <xf numFmtId="0" fontId="17" fillId="0" borderId="76" xfId="0" applyFont="1" applyBorder="1" applyAlignment="1">
      <alignment horizontal="center" vertical="center"/>
    </xf>
    <xf numFmtId="0" fontId="0" fillId="8" borderId="0" xfId="0" applyFill="1" applyBorder="1" applyAlignment="1" applyProtection="1">
      <alignment horizontal="left"/>
      <protection locked="0"/>
    </xf>
    <xf numFmtId="0" fontId="0" fillId="0" borderId="84" xfId="0" applyFill="1" applyBorder="1"/>
    <xf numFmtId="0" fontId="0" fillId="8" borderId="84" xfId="0" applyFill="1" applyBorder="1" applyProtection="1">
      <protection locked="0"/>
    </xf>
    <xf numFmtId="0" fontId="0" fillId="8" borderId="87" xfId="0" applyFill="1" applyBorder="1" applyProtection="1">
      <protection locked="0"/>
    </xf>
    <xf numFmtId="0" fontId="0" fillId="8" borderId="76" xfId="0" applyFill="1" applyBorder="1" applyAlignment="1" applyProtection="1">
      <alignment horizontal="left"/>
      <protection locked="0"/>
    </xf>
    <xf numFmtId="0" fontId="0" fillId="8" borderId="76" xfId="0" applyFill="1" applyBorder="1" applyProtection="1">
      <protection locked="0"/>
    </xf>
    <xf numFmtId="0" fontId="0" fillId="8" borderId="88" xfId="0" applyFill="1" applyBorder="1" applyProtection="1">
      <protection locked="0"/>
    </xf>
    <xf numFmtId="0" fontId="6" fillId="0" borderId="78" xfId="0" applyFont="1" applyBorder="1"/>
    <xf numFmtId="0" fontId="6" fillId="0" borderId="116" xfId="0" applyFont="1" applyBorder="1"/>
    <xf numFmtId="0" fontId="6" fillId="2" borderId="59" xfId="0" applyFont="1" applyFill="1" applyBorder="1"/>
    <xf numFmtId="0" fontId="6" fillId="2" borderId="104" xfId="0" applyFont="1" applyFill="1" applyBorder="1"/>
    <xf numFmtId="0" fontId="17" fillId="0" borderId="84" xfId="0" applyFont="1" applyBorder="1" applyAlignment="1">
      <alignment horizontal="center" vertical="center"/>
    </xf>
    <xf numFmtId="0" fontId="17" fillId="0" borderId="87" xfId="0" applyFont="1" applyBorder="1" applyAlignment="1">
      <alignment horizontal="center" vertical="center"/>
    </xf>
    <xf numFmtId="0" fontId="58" fillId="0" borderId="84" xfId="0" applyFont="1" applyBorder="1"/>
    <xf numFmtId="0" fontId="6" fillId="0" borderId="105" xfId="0" applyFont="1" applyBorder="1" applyAlignment="1">
      <alignment horizontal="left"/>
    </xf>
    <xf numFmtId="0" fontId="0" fillId="9" borderId="1" xfId="0" quotePrefix="1" applyFill="1" applyBorder="1" applyAlignment="1" applyProtection="1">
      <alignment horizontal="left" vertical="center" wrapText="1"/>
      <protection locked="0"/>
    </xf>
    <xf numFmtId="0" fontId="0" fillId="0" borderId="0" xfId="0" applyFill="1" applyBorder="1" applyAlignment="1">
      <alignment horizontal="center"/>
    </xf>
    <xf numFmtId="0" fontId="31" fillId="0" borderId="0" xfId="5" applyFill="1" applyBorder="1"/>
    <xf numFmtId="0" fontId="0" fillId="0" borderId="0" xfId="0" quotePrefix="1" applyFill="1" applyBorder="1" applyAlignment="1">
      <alignment horizontal="left"/>
    </xf>
    <xf numFmtId="0" fontId="4" fillId="0" borderId="0" xfId="0" applyFont="1" applyFill="1" applyBorder="1" applyAlignment="1">
      <alignment horizontal="left"/>
    </xf>
    <xf numFmtId="0" fontId="6" fillId="0" borderId="0" xfId="0" applyFont="1" applyFill="1" applyBorder="1"/>
    <xf numFmtId="49" fontId="0" fillId="0" borderId="0" xfId="0" applyNumberFormat="1" applyFill="1" applyBorder="1" applyAlignment="1">
      <alignment horizontal="center"/>
    </xf>
    <xf numFmtId="0" fontId="0" fillId="0" borderId="0" xfId="0" applyFill="1" applyBorder="1" applyProtection="1">
      <protection locked="0"/>
    </xf>
    <xf numFmtId="0" fontId="6" fillId="0" borderId="106" xfId="0" applyFont="1" applyBorder="1" applyAlignment="1">
      <alignment vertical="center" wrapText="1"/>
    </xf>
    <xf numFmtId="0" fontId="6" fillId="2" borderId="93" xfId="0" applyFont="1" applyFill="1" applyBorder="1" applyAlignment="1">
      <alignment horizontal="left" vertical="center"/>
    </xf>
    <xf numFmtId="0" fontId="6" fillId="2" borderId="93" xfId="0" applyFont="1" applyFill="1" applyBorder="1" applyAlignment="1">
      <alignment vertical="center"/>
    </xf>
    <xf numFmtId="0" fontId="6" fillId="2" borderId="94" xfId="0" applyFont="1" applyFill="1" applyBorder="1" applyAlignment="1">
      <alignment vertical="center"/>
    </xf>
    <xf numFmtId="0" fontId="0" fillId="0" borderId="117" xfId="0" applyBorder="1"/>
    <xf numFmtId="166" fontId="0" fillId="9" borderId="1" xfId="0" applyNumberFormat="1" applyFill="1" applyBorder="1" applyAlignment="1" applyProtection="1">
      <alignment horizontal="center" vertical="top" wrapText="1"/>
    </xf>
    <xf numFmtId="0" fontId="31" fillId="9" borderId="1" xfId="5" applyFill="1" applyBorder="1" applyAlignment="1" applyProtection="1">
      <alignment wrapText="1"/>
      <protection locked="0"/>
    </xf>
    <xf numFmtId="0" fontId="40" fillId="0" borderId="108" xfId="0" applyFont="1" applyBorder="1" applyAlignment="1"/>
    <xf numFmtId="0" fontId="40" fillId="0" borderId="80" xfId="0" applyFont="1" applyBorder="1" applyAlignment="1"/>
    <xf numFmtId="0" fontId="42" fillId="0" borderId="91" xfId="0" applyFont="1" applyBorder="1" applyAlignment="1">
      <alignment horizontal="center" vertical="center"/>
    </xf>
    <xf numFmtId="0" fontId="42" fillId="0" borderId="92" xfId="0" applyFont="1" applyBorder="1" applyAlignment="1">
      <alignment horizontal="left" vertical="center"/>
    </xf>
    <xf numFmtId="0" fontId="42" fillId="0" borderId="93" xfId="0" applyFont="1" applyBorder="1" applyAlignment="1">
      <alignment horizontal="center" vertical="center"/>
    </xf>
    <xf numFmtId="0" fontId="42" fillId="0" borderId="94" xfId="0" applyFont="1" applyFill="1" applyBorder="1" applyAlignment="1">
      <alignment horizontal="center" vertical="center"/>
    </xf>
    <xf numFmtId="0" fontId="60" fillId="0" borderId="81" xfId="0" applyFont="1" applyBorder="1" applyAlignment="1">
      <alignment horizontal="center" vertical="center"/>
    </xf>
    <xf numFmtId="0" fontId="17" fillId="0" borderId="77" xfId="0" applyFont="1" applyBorder="1" applyAlignment="1">
      <alignment horizontal="left" vertical="center"/>
    </xf>
    <xf numFmtId="0" fontId="58" fillId="0" borderId="77" xfId="0" applyFont="1" applyBorder="1" applyAlignment="1">
      <alignment horizontal="left"/>
    </xf>
    <xf numFmtId="0" fontId="58" fillId="0" borderId="83" xfId="0" applyFont="1" applyBorder="1" applyAlignment="1">
      <alignment horizontal="left"/>
    </xf>
    <xf numFmtId="0" fontId="0" fillId="9" borderId="1" xfId="0" applyFill="1" applyBorder="1" applyAlignment="1" applyProtection="1">
      <alignment vertical="top" wrapText="1"/>
      <protection locked="0"/>
    </xf>
    <xf numFmtId="0" fontId="22" fillId="0" borderId="110" xfId="4" applyFill="1" applyBorder="1" applyAlignment="1">
      <alignment horizontal="left" vertical="center" wrapText="1"/>
    </xf>
    <xf numFmtId="0" fontId="0" fillId="0" borderId="76" xfId="0" applyBorder="1" applyAlignment="1">
      <alignment horizontal="left"/>
    </xf>
    <xf numFmtId="0" fontId="58" fillId="0" borderId="0" xfId="0" applyFont="1" applyAlignment="1">
      <alignment horizontal="left"/>
    </xf>
    <xf numFmtId="0" fontId="42" fillId="0" borderId="93" xfId="0" applyFont="1" applyBorder="1" applyAlignment="1">
      <alignment horizontal="left" vertical="center"/>
    </xf>
    <xf numFmtId="0" fontId="40" fillId="0" borderId="0" xfId="0" applyFont="1" applyBorder="1" applyAlignment="1">
      <alignment horizontal="left"/>
    </xf>
    <xf numFmtId="0" fontId="40" fillId="0" borderId="59" xfId="0" applyFont="1" applyBorder="1" applyAlignment="1">
      <alignment horizontal="left"/>
    </xf>
    <xf numFmtId="0" fontId="31" fillId="0" borderId="59" xfId="5" applyBorder="1" applyAlignment="1">
      <alignment horizontal="left"/>
    </xf>
    <xf numFmtId="0" fontId="40" fillId="0" borderId="76" xfId="0" applyFont="1" applyBorder="1" applyAlignment="1">
      <alignment horizontal="left"/>
    </xf>
    <xf numFmtId="14" fontId="0" fillId="5" borderId="1" xfId="0" quotePrefix="1" applyNumberFormat="1" applyFill="1" applyBorder="1" applyAlignment="1" applyProtection="1">
      <alignment horizontal="left" vertical="center"/>
      <protection locked="0"/>
    </xf>
    <xf numFmtId="0" fontId="0" fillId="2" borderId="14" xfId="0" applyFill="1" applyBorder="1" applyAlignment="1">
      <alignment horizontal="left"/>
    </xf>
    <xf numFmtId="0" fontId="0" fillId="2" borderId="4" xfId="0" applyFill="1" applyBorder="1" applyAlignment="1">
      <alignment horizontal="left" vertical="center"/>
    </xf>
    <xf numFmtId="0" fontId="0" fillId="2" borderId="1" xfId="0" applyFill="1" applyBorder="1" applyAlignment="1">
      <alignment horizontal="left" vertical="center" wrapText="1"/>
    </xf>
    <xf numFmtId="0" fontId="6" fillId="2" borderId="27" xfId="0" applyFont="1" applyFill="1" applyBorder="1" applyAlignment="1">
      <alignment horizontal="center" vertical="center"/>
    </xf>
    <xf numFmtId="0" fontId="6" fillId="2" borderId="34" xfId="0" applyFont="1" applyFill="1" applyBorder="1" applyAlignment="1">
      <alignment horizontal="center" vertical="center"/>
    </xf>
    <xf numFmtId="0" fontId="0" fillId="0" borderId="82" xfId="0" applyFont="1" applyBorder="1" applyAlignment="1">
      <alignment horizontal="center" vertical="center"/>
    </xf>
    <xf numFmtId="0" fontId="40" fillId="0" borderId="101" xfId="0" applyFont="1" applyBorder="1" applyAlignment="1">
      <alignment horizontal="center"/>
    </xf>
    <xf numFmtId="0" fontId="0" fillId="0" borderId="64" xfId="0" applyFont="1" applyBorder="1" applyAlignment="1">
      <alignment horizontal="left" vertical="center"/>
    </xf>
    <xf numFmtId="0" fontId="40" fillId="0" borderId="8" xfId="0" applyFont="1" applyBorder="1" applyAlignment="1">
      <alignment horizontal="left"/>
    </xf>
    <xf numFmtId="0" fontId="0" fillId="0" borderId="0" xfId="0" applyFill="1" applyBorder="1" applyAlignment="1" applyProtection="1">
      <alignment horizontal="left" vertical="top" wrapText="1"/>
      <protection locked="0"/>
    </xf>
    <xf numFmtId="0" fontId="0" fillId="0" borderId="0" xfId="0" applyFill="1" applyBorder="1" applyAlignment="1" applyProtection="1">
      <alignment horizontal="left" vertical="top"/>
      <protection locked="0"/>
    </xf>
    <xf numFmtId="166" fontId="0" fillId="0" borderId="0" xfId="0" applyNumberFormat="1" applyFill="1" applyBorder="1" applyAlignment="1" applyProtection="1">
      <alignment horizontal="left" vertical="top" wrapText="1"/>
      <protection locked="0"/>
    </xf>
    <xf numFmtId="0" fontId="40" fillId="0" borderId="118" xfId="0" applyFont="1" applyBorder="1" applyAlignment="1">
      <alignment horizontal="center"/>
    </xf>
    <xf numFmtId="0" fontId="40" fillId="0" borderId="74" xfId="0" applyFont="1" applyBorder="1" applyAlignment="1">
      <alignment horizontal="left"/>
    </xf>
    <xf numFmtId="0" fontId="0" fillId="0" borderId="0" xfId="0" applyFill="1" applyBorder="1" applyAlignment="1">
      <alignment horizontal="center" vertical="top"/>
    </xf>
    <xf numFmtId="0" fontId="0" fillId="9" borderId="1" xfId="0" applyFill="1" applyBorder="1" applyAlignment="1" applyProtection="1">
      <alignment horizontal="left" vertical="center" wrapText="1"/>
    </xf>
    <xf numFmtId="0" fontId="40" fillId="0" borderId="68" xfId="0" applyFont="1" applyBorder="1" applyAlignment="1">
      <alignment horizontal="center"/>
    </xf>
    <xf numFmtId="0" fontId="40" fillId="0" borderId="64" xfId="0" applyFont="1" applyBorder="1" applyAlignment="1">
      <alignment horizontal="center"/>
    </xf>
    <xf numFmtId="0" fontId="0" fillId="0" borderId="64" xfId="0" applyFill="1" applyBorder="1" applyAlignment="1" applyProtection="1">
      <alignment horizontal="center" vertical="top" wrapText="1"/>
      <protection locked="0"/>
    </xf>
    <xf numFmtId="0" fontId="40" fillId="0" borderId="65" xfId="0" applyFont="1" applyBorder="1" applyAlignment="1">
      <alignment horizontal="center"/>
    </xf>
    <xf numFmtId="0" fontId="40" fillId="0" borderId="102" xfId="0" applyFont="1" applyBorder="1" applyAlignment="1">
      <alignment horizontal="center"/>
    </xf>
    <xf numFmtId="0" fontId="0" fillId="0" borderId="0" xfId="0" applyFill="1" applyBorder="1" applyAlignment="1" applyProtection="1">
      <alignment horizontal="center" vertical="top" wrapText="1"/>
      <protection locked="0"/>
    </xf>
    <xf numFmtId="0" fontId="31" fillId="0" borderId="0" xfId="5" applyFill="1" applyBorder="1" applyAlignment="1" applyProtection="1">
      <alignment horizontal="center" vertical="center"/>
      <protection locked="0"/>
    </xf>
    <xf numFmtId="0" fontId="22" fillId="0" borderId="0" xfId="4" applyFill="1" applyBorder="1" applyAlignment="1">
      <alignment horizontal="left"/>
    </xf>
    <xf numFmtId="0" fontId="0" fillId="0" borderId="0" xfId="0" applyAlignment="1">
      <alignment horizontal="center" vertical="center" wrapText="1"/>
    </xf>
    <xf numFmtId="0" fontId="6" fillId="2" borderId="3" xfId="0" applyFont="1" applyFill="1" applyBorder="1" applyAlignment="1">
      <alignment vertical="center"/>
    </xf>
    <xf numFmtId="0" fontId="6" fillId="2" borderId="3" xfId="0" applyFont="1" applyFill="1" applyBorder="1" applyAlignment="1">
      <alignment vertical="center" wrapText="1"/>
    </xf>
    <xf numFmtId="0" fontId="0" fillId="0" borderId="0" xfId="0" applyAlignment="1" applyProtection="1">
      <alignment horizontal="center" vertical="center"/>
    </xf>
    <xf numFmtId="0" fontId="0" fillId="0" borderId="0" xfId="0" applyAlignment="1" applyProtection="1">
      <alignment horizontal="center" vertical="top"/>
    </xf>
    <xf numFmtId="0" fontId="0" fillId="0" borderId="0" xfId="0" applyFill="1" applyBorder="1" applyAlignment="1" applyProtection="1">
      <alignment horizontal="center" vertical="center" wrapText="1"/>
    </xf>
    <xf numFmtId="0" fontId="0" fillId="0" borderId="0" xfId="0" applyBorder="1" applyAlignment="1">
      <alignment horizontal="left" wrapText="1"/>
    </xf>
    <xf numFmtId="0" fontId="0" fillId="0" borderId="0" xfId="0" applyBorder="1" applyAlignment="1">
      <alignment horizontal="center" wrapText="1"/>
    </xf>
    <xf numFmtId="0" fontId="0" fillId="0" borderId="0" xfId="0" applyAlignment="1">
      <alignment horizontal="center" wrapText="1"/>
    </xf>
    <xf numFmtId="49" fontId="5" fillId="0" borderId="0" xfId="4" applyNumberFormat="1" applyFont="1" applyBorder="1" applyAlignment="1" applyProtection="1">
      <alignment horizontal="left" vertical="top" wrapText="1"/>
    </xf>
    <xf numFmtId="0" fontId="6" fillId="0" borderId="0" xfId="0" applyFont="1" applyAlignment="1">
      <alignment vertical="center"/>
    </xf>
    <xf numFmtId="14" fontId="0" fillId="9" borderId="12" xfId="0" applyNumberFormat="1" applyFill="1" applyBorder="1" applyAlignment="1" applyProtection="1">
      <alignment horizontal="center" vertical="center" wrapText="1"/>
    </xf>
    <xf numFmtId="171" fontId="0" fillId="9" borderId="1" xfId="0" applyNumberFormat="1" applyFill="1" applyBorder="1" applyAlignment="1" applyProtection="1">
      <alignment horizontal="center" wrapText="1"/>
      <protection locked="0"/>
    </xf>
    <xf numFmtId="0" fontId="0" fillId="0" borderId="0" xfId="0" applyBorder="1" applyAlignment="1" applyProtection="1">
      <alignment horizontal="center" vertical="center" wrapText="1"/>
    </xf>
    <xf numFmtId="0" fontId="35" fillId="0" borderId="22" xfId="0" applyFont="1" applyBorder="1" applyAlignment="1" applyProtection="1">
      <alignment vertical="center" wrapText="1"/>
    </xf>
    <xf numFmtId="0" fontId="38" fillId="0" borderId="15" xfId="0" applyFont="1" applyBorder="1" applyAlignment="1" applyProtection="1">
      <alignment horizontal="center" vertical="top" wrapText="1"/>
    </xf>
    <xf numFmtId="0" fontId="38" fillId="0" borderId="16" xfId="0" applyFont="1" applyBorder="1" applyAlignment="1" applyProtection="1">
      <alignment horizontal="center" vertical="top" wrapText="1"/>
    </xf>
    <xf numFmtId="0" fontId="38" fillId="0" borderId="17" xfId="0" applyFont="1" applyBorder="1" applyAlignment="1" applyProtection="1">
      <alignment horizontal="center" vertical="top" wrapText="1"/>
    </xf>
    <xf numFmtId="0" fontId="50" fillId="0" borderId="22" xfId="0" applyFont="1" applyBorder="1" applyAlignment="1" applyProtection="1">
      <alignment vertical="center" wrapText="1"/>
    </xf>
    <xf numFmtId="0" fontId="37" fillId="0" borderId="22" xfId="0" applyFont="1" applyBorder="1" applyAlignment="1" applyProtection="1">
      <alignment vertical="center" wrapText="1"/>
    </xf>
    <xf numFmtId="0" fontId="35" fillId="0" borderId="0" xfId="0" applyFont="1" applyAlignment="1" applyProtection="1">
      <alignment vertical="center"/>
    </xf>
    <xf numFmtId="0" fontId="36" fillId="0" borderId="0" xfId="0" applyFont="1" applyAlignment="1" applyProtection="1">
      <alignment vertical="center"/>
    </xf>
    <xf numFmtId="168" fontId="7" fillId="0" borderId="0" xfId="3" applyFont="1" applyAlignment="1" applyProtection="1">
      <alignment horizontal="right" vertical="top" wrapText="1"/>
    </xf>
    <xf numFmtId="49" fontId="7" fillId="0" borderId="61" xfId="4" applyNumberFormat="1" applyFont="1" applyBorder="1" applyAlignment="1" applyProtection="1">
      <alignment vertical="top" wrapText="1"/>
    </xf>
    <xf numFmtId="168" fontId="5" fillId="0" borderId="0" xfId="3" applyFont="1" applyBorder="1" applyAlignment="1" applyProtection="1">
      <protection locked="0"/>
    </xf>
    <xf numFmtId="0" fontId="0" fillId="0" borderId="0" xfId="0" applyBorder="1" applyProtection="1">
      <protection locked="0"/>
    </xf>
    <xf numFmtId="0" fontId="5" fillId="0" borderId="0" xfId="4" applyNumberFormat="1" applyFont="1" applyBorder="1" applyAlignment="1" applyProtection="1">
      <alignment horizontal="left" vertical="top" wrapText="1"/>
    </xf>
    <xf numFmtId="0" fontId="5" fillId="0" borderId="0" xfId="4" applyNumberFormat="1" applyFont="1" applyBorder="1" applyAlignment="1" applyProtection="1">
      <alignment vertical="top" wrapText="1"/>
    </xf>
    <xf numFmtId="168" fontId="24" fillId="0" borderId="0" xfId="3" quotePrefix="1" applyFont="1" applyBorder="1" applyAlignment="1" applyProtection="1">
      <alignment vertical="top"/>
    </xf>
    <xf numFmtId="168" fontId="5" fillId="0" borderId="0" xfId="3" quotePrefix="1" applyFont="1" applyBorder="1" applyAlignment="1" applyProtection="1">
      <alignment vertical="top" wrapText="1"/>
    </xf>
    <xf numFmtId="0" fontId="6" fillId="0" borderId="16" xfId="0" applyFont="1" applyBorder="1" applyProtection="1">
      <protection locked="0"/>
    </xf>
    <xf numFmtId="0" fontId="0" fillId="0" borderId="1" xfId="0" applyFill="1" applyBorder="1" applyAlignment="1" applyProtection="1">
      <alignment horizontal="left" vertical="center" wrapText="1"/>
      <protection locked="0"/>
    </xf>
    <xf numFmtId="0" fontId="0" fillId="0" borderId="0" xfId="0" applyAlignment="1">
      <alignment vertical="top"/>
    </xf>
    <xf numFmtId="0" fontId="6" fillId="0" borderId="93" xfId="0" applyFont="1" applyBorder="1" applyAlignment="1">
      <alignment vertical="center" wrapText="1"/>
    </xf>
    <xf numFmtId="0" fontId="6" fillId="0" borderId="0" xfId="0" applyFont="1" applyBorder="1"/>
    <xf numFmtId="0" fontId="6" fillId="0" borderId="59" xfId="0" applyFont="1" applyBorder="1"/>
    <xf numFmtId="0" fontId="6" fillId="0" borderId="107" xfId="0" applyFont="1" applyBorder="1"/>
    <xf numFmtId="0" fontId="6" fillId="2" borderId="1" xfId="0" applyFont="1" applyFill="1" applyBorder="1" applyAlignment="1">
      <alignment horizontal="center"/>
    </xf>
    <xf numFmtId="0" fontId="40" fillId="0" borderId="0" xfId="0" quotePrefix="1" applyFont="1" applyBorder="1" applyAlignment="1">
      <alignment horizontal="center"/>
    </xf>
    <xf numFmtId="0" fontId="0" fillId="0" borderId="0" xfId="0" applyAlignment="1" applyProtection="1">
      <alignment horizontal="center" vertical="center" wrapText="1"/>
      <protection locked="0"/>
    </xf>
    <xf numFmtId="165" fontId="0" fillId="0" borderId="0" xfId="0" applyNumberFormat="1" applyAlignment="1" applyProtection="1">
      <alignment horizontal="center" vertical="center" wrapText="1"/>
      <protection locked="0"/>
    </xf>
    <xf numFmtId="0" fontId="0" fillId="0" borderId="0" xfId="0" applyProtection="1">
      <protection locked="0"/>
    </xf>
    <xf numFmtId="0" fontId="0" fillId="0" borderId="0" xfId="0" applyNumberFormat="1" applyFill="1" applyAlignment="1" applyProtection="1">
      <alignment horizontal="center" vertical="center" wrapText="1"/>
    </xf>
    <xf numFmtId="0" fontId="40" fillId="0" borderId="0" xfId="0" applyFont="1" applyAlignment="1">
      <alignment horizontal="left"/>
    </xf>
    <xf numFmtId="0" fontId="40" fillId="0" borderId="0" xfId="0" applyFont="1" applyAlignment="1">
      <alignment horizontal="center"/>
    </xf>
    <xf numFmtId="0" fontId="31" fillId="0" borderId="0" xfId="5" applyBorder="1" applyAlignment="1">
      <alignment horizontal="left"/>
    </xf>
    <xf numFmtId="0" fontId="40" fillId="0" borderId="0" xfId="0" applyFont="1"/>
    <xf numFmtId="0" fontId="22" fillId="0" borderId="0" xfId="4" applyAlignment="1">
      <alignment horizontal="center"/>
    </xf>
    <xf numFmtId="0" fontId="31" fillId="0" borderId="0" xfId="5" applyAlignment="1">
      <alignment horizontal="left"/>
    </xf>
    <xf numFmtId="0" fontId="22" fillId="0" borderId="0" xfId="4"/>
    <xf numFmtId="0" fontId="22" fillId="0" borderId="0" xfId="4" applyAlignment="1">
      <alignment horizontal="left"/>
    </xf>
    <xf numFmtId="0" fontId="0" fillId="2" borderId="1" xfId="0" applyFont="1" applyFill="1" applyBorder="1" applyAlignment="1">
      <alignment horizontal="left" vertical="center"/>
    </xf>
    <xf numFmtId="6" fontId="22" fillId="0" borderId="0" xfId="1" applyNumberFormat="1" applyFont="1" applyFill="1" applyBorder="1" applyAlignment="1">
      <alignment horizontal="left"/>
    </xf>
    <xf numFmtId="0" fontId="31" fillId="0" borderId="0" xfId="5"/>
    <xf numFmtId="0" fontId="4" fillId="0" borderId="0" xfId="0" applyFont="1" applyAlignment="1">
      <alignment horizontal="center" vertical="center"/>
    </xf>
    <xf numFmtId="0" fontId="52" fillId="0" borderId="47" xfId="0" applyFont="1" applyBorder="1" applyAlignment="1">
      <alignment horizontal="center" vertical="center" textRotation="90" wrapText="1"/>
    </xf>
    <xf numFmtId="0" fontId="52" fillId="0" borderId="75" xfId="0" applyFont="1" applyBorder="1" applyAlignment="1">
      <alignment horizontal="center" vertical="center" textRotation="90" wrapText="1"/>
    </xf>
    <xf numFmtId="0" fontId="52" fillId="0" borderId="48" xfId="0" applyFont="1" applyBorder="1" applyAlignment="1">
      <alignment horizontal="center" vertical="center" textRotation="90" wrapText="1"/>
    </xf>
    <xf numFmtId="0" fontId="53" fillId="0" borderId="15" xfId="0" applyFont="1" applyBorder="1" applyAlignment="1" applyProtection="1">
      <alignment vertical="center" wrapText="1"/>
      <protection locked="0"/>
    </xf>
    <xf numFmtId="0" fontId="53" fillId="0" borderId="17" xfId="0" applyFont="1" applyBorder="1" applyAlignment="1" applyProtection="1">
      <alignment vertical="center" wrapText="1"/>
      <protection locked="0"/>
    </xf>
    <xf numFmtId="0" fontId="53" fillId="0" borderId="15" xfId="0" applyFont="1" applyBorder="1" applyAlignment="1" applyProtection="1">
      <alignment vertical="top" wrapText="1"/>
      <protection locked="0"/>
    </xf>
    <xf numFmtId="0" fontId="53" fillId="0" borderId="17" xfId="0" applyFont="1" applyBorder="1" applyAlignment="1" applyProtection="1">
      <alignment vertical="top" wrapText="1"/>
      <protection locked="0"/>
    </xf>
    <xf numFmtId="0" fontId="52" fillId="0" borderId="15" xfId="0" applyFont="1" applyBorder="1" applyAlignment="1" applyProtection="1">
      <alignment horizontal="left" vertical="top" wrapText="1"/>
      <protection locked="0"/>
    </xf>
    <xf numFmtId="0" fontId="52" fillId="0" borderId="16" xfId="0" applyFont="1" applyBorder="1" applyAlignment="1" applyProtection="1">
      <alignment horizontal="left" vertical="top" wrapText="1"/>
      <protection locked="0"/>
    </xf>
    <xf numFmtId="0" fontId="52" fillId="0" borderId="17" xfId="0" applyFont="1" applyBorder="1" applyAlignment="1" applyProtection="1">
      <alignment horizontal="left" vertical="top" wrapText="1"/>
      <protection locked="0"/>
    </xf>
    <xf numFmtId="0" fontId="52" fillId="0" borderId="16" xfId="0" applyFont="1" applyBorder="1" applyAlignment="1" applyProtection="1">
      <alignment horizontal="center" vertical="top" wrapText="1"/>
      <protection locked="0"/>
    </xf>
    <xf numFmtId="0" fontId="52" fillId="0" borderId="15" xfId="0" applyFont="1" applyBorder="1" applyAlignment="1">
      <alignment horizontal="center" vertical="top" wrapText="1"/>
    </xf>
    <xf numFmtId="0" fontId="52" fillId="0" borderId="17" xfId="0" applyFont="1" applyBorder="1" applyAlignment="1">
      <alignment horizontal="center" vertical="top" wrapText="1"/>
    </xf>
    <xf numFmtId="0" fontId="22" fillId="0" borderId="20" xfId="0" applyFont="1" applyBorder="1" applyAlignment="1">
      <alignment horizontal="center" wrapText="1"/>
    </xf>
    <xf numFmtId="0" fontId="22" fillId="0" borderId="10" xfId="0" applyFont="1" applyBorder="1" applyAlignment="1" applyProtection="1">
      <alignment horizontal="left" wrapText="1"/>
      <protection locked="0"/>
    </xf>
    <xf numFmtId="0" fontId="53" fillId="0" borderId="0" xfId="0" applyFont="1" applyAlignment="1" applyProtection="1">
      <alignment horizontal="left" wrapText="1"/>
      <protection locked="0"/>
    </xf>
    <xf numFmtId="0" fontId="22" fillId="0" borderId="16" xfId="0" applyFont="1" applyBorder="1" applyAlignment="1">
      <alignment horizontal="center" wrapText="1"/>
    </xf>
    <xf numFmtId="0" fontId="53" fillId="0" borderId="15" xfId="0" applyFont="1" applyBorder="1" applyAlignment="1">
      <alignment horizontal="left" wrapText="1"/>
    </xf>
    <xf numFmtId="0" fontId="53" fillId="0" borderId="16" xfId="0" applyFont="1" applyBorder="1" applyAlignment="1">
      <alignment horizontal="left" wrapText="1"/>
    </xf>
    <xf numFmtId="0" fontId="53" fillId="0" borderId="17" xfId="0" applyFont="1" applyBorder="1" applyAlignment="1">
      <alignment horizontal="left" wrapText="1"/>
    </xf>
    <xf numFmtId="0" fontId="55" fillId="0" borderId="59" xfId="7" applyFont="1" applyBorder="1" applyAlignment="1" applyProtection="1">
      <alignment horizontal="center" wrapText="1"/>
    </xf>
    <xf numFmtId="0" fontId="53" fillId="0" borderId="16" xfId="0" applyFont="1" applyBorder="1" applyAlignment="1">
      <alignment horizontal="center" wrapText="1"/>
    </xf>
    <xf numFmtId="0" fontId="53" fillId="0" borderId="15" xfId="0" applyFont="1" applyBorder="1" applyAlignment="1" applyProtection="1">
      <alignment horizontal="left" vertical="top" wrapText="1"/>
      <protection locked="0"/>
    </xf>
    <xf numFmtId="0" fontId="53" fillId="0" borderId="16" xfId="0" applyFont="1" applyBorder="1" applyAlignment="1" applyProtection="1">
      <alignment horizontal="left" vertical="top" wrapText="1"/>
      <protection locked="0"/>
    </xf>
    <xf numFmtId="0" fontId="53" fillId="0" borderId="17" xfId="0" applyFont="1" applyBorder="1" applyAlignment="1" applyProtection="1">
      <alignment horizontal="left" vertical="top" wrapText="1"/>
      <protection locked="0"/>
    </xf>
    <xf numFmtId="0" fontId="11" fillId="0" borderId="0" xfId="0" applyFont="1" applyAlignment="1">
      <alignment horizontal="left" vertical="center" wrapText="1"/>
    </xf>
    <xf numFmtId="0" fontId="13" fillId="0" borderId="0" xfId="0" applyFont="1" applyAlignment="1">
      <alignment horizontal="left" vertical="top" wrapText="1"/>
    </xf>
    <xf numFmtId="0" fontId="11" fillId="0" borderId="0" xfId="0" applyFont="1" applyAlignment="1">
      <alignment horizontal="left"/>
    </xf>
    <xf numFmtId="0" fontId="11" fillId="0" borderId="0" xfId="0" applyFont="1" applyAlignment="1">
      <alignment horizontal="center" vertical="top" wrapText="1"/>
    </xf>
    <xf numFmtId="0" fontId="5" fillId="0" borderId="47"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39" xfId="0" applyFont="1" applyFill="1" applyBorder="1" applyAlignment="1">
      <alignment horizontal="center" vertical="center"/>
    </xf>
    <xf numFmtId="0" fontId="0" fillId="0" borderId="36" xfId="0" applyFill="1" applyBorder="1" applyAlignment="1">
      <alignment horizontal="center" vertical="center"/>
    </xf>
    <xf numFmtId="0" fontId="0" fillId="0" borderId="37" xfId="0" applyFill="1" applyBorder="1" applyAlignment="1">
      <alignment horizontal="center" vertical="center"/>
    </xf>
    <xf numFmtId="0" fontId="0" fillId="0" borderId="38" xfId="0" applyFill="1" applyBorder="1" applyAlignment="1">
      <alignment horizontal="center" vertical="center"/>
    </xf>
    <xf numFmtId="0" fontId="5" fillId="9" borderId="23"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2" fillId="3" borderId="0" xfId="0" applyFont="1" applyFill="1" applyAlignment="1">
      <alignment horizontal="center"/>
    </xf>
    <xf numFmtId="0" fontId="5" fillId="9" borderId="24" xfId="0" applyFont="1" applyFill="1" applyBorder="1" applyAlignment="1">
      <alignment horizontal="center" vertical="center" wrapText="1"/>
    </xf>
    <xf numFmtId="0" fontId="5" fillId="9" borderId="4" xfId="0" applyFont="1" applyFill="1" applyBorder="1" applyAlignment="1">
      <alignment horizontal="center" vertical="center"/>
    </xf>
    <xf numFmtId="0" fontId="5" fillId="9" borderId="25" xfId="0" applyFont="1" applyFill="1" applyBorder="1" applyAlignment="1">
      <alignment horizontal="left" vertical="center" wrapText="1"/>
    </xf>
    <xf numFmtId="0" fontId="5" fillId="9" borderId="26" xfId="0" applyFont="1" applyFill="1" applyBorder="1" applyAlignment="1">
      <alignment horizontal="left" vertical="center" wrapText="1"/>
    </xf>
    <xf numFmtId="0" fontId="5" fillId="9" borderId="4" xfId="0" applyFont="1" applyFill="1" applyBorder="1" applyAlignment="1">
      <alignment horizontal="center" vertical="center" wrapText="1"/>
    </xf>
    <xf numFmtId="0" fontId="13" fillId="9" borderId="40" xfId="0" applyFont="1" applyFill="1" applyBorder="1" applyAlignment="1">
      <alignment horizontal="center" vertical="center" wrapText="1"/>
    </xf>
    <xf numFmtId="0" fontId="13" fillId="9" borderId="2" xfId="0" applyFont="1" applyFill="1" applyBorder="1" applyAlignment="1">
      <alignment horizontal="center" vertical="center"/>
    </xf>
    <xf numFmtId="0" fontId="13" fillId="9" borderId="41" xfId="0" applyFont="1" applyFill="1" applyBorder="1" applyAlignment="1">
      <alignment horizontal="center" vertical="center"/>
    </xf>
    <xf numFmtId="0" fontId="13" fillId="0" borderId="12" xfId="0" applyFont="1" applyBorder="1" applyAlignment="1" applyProtection="1">
      <alignment horizontal="center" vertical="center"/>
    </xf>
    <xf numFmtId="0" fontId="13" fillId="0" borderId="13" xfId="0" applyFont="1" applyBorder="1" applyAlignment="1" applyProtection="1">
      <alignment horizontal="center" vertical="center"/>
    </xf>
    <xf numFmtId="0" fontId="6" fillId="11" borderId="12" xfId="0" applyFont="1" applyFill="1" applyBorder="1" applyAlignment="1">
      <alignment horizontal="left" vertical="center"/>
    </xf>
    <xf numFmtId="0" fontId="6" fillId="11" borderId="13" xfId="0" applyFont="1" applyFill="1" applyBorder="1" applyAlignment="1">
      <alignment horizontal="left" vertical="center"/>
    </xf>
    <xf numFmtId="0" fontId="0" fillId="2" borderId="1" xfId="0" applyFill="1" applyBorder="1" applyAlignment="1">
      <alignment horizontal="center" vertical="center"/>
    </xf>
    <xf numFmtId="0" fontId="0" fillId="9" borderId="12" xfId="0" applyFill="1" applyBorder="1" applyAlignment="1" applyProtection="1">
      <alignment horizontal="left" vertical="center" wrapText="1"/>
      <protection locked="0"/>
    </xf>
    <xf numFmtId="0" fontId="0" fillId="9" borderId="14" xfId="0" applyFill="1" applyBorder="1" applyAlignment="1" applyProtection="1">
      <alignment horizontal="left" vertical="center" wrapText="1"/>
      <protection locked="0"/>
    </xf>
    <xf numFmtId="0" fontId="0" fillId="9" borderId="13" xfId="0" applyFill="1" applyBorder="1" applyAlignment="1" applyProtection="1">
      <alignment horizontal="left" vertical="center" wrapText="1"/>
      <protection locked="0"/>
    </xf>
    <xf numFmtId="0" fontId="30" fillId="0" borderId="8" xfId="0" applyFont="1" applyBorder="1" applyAlignment="1">
      <alignment horizontal="left"/>
    </xf>
    <xf numFmtId="0" fontId="30" fillId="0" borderId="0" xfId="0" applyFont="1" applyBorder="1" applyAlignment="1">
      <alignment horizontal="left"/>
    </xf>
    <xf numFmtId="0" fontId="30" fillId="0" borderId="8" xfId="0" applyFont="1" applyBorder="1" applyAlignment="1">
      <alignment horizontal="left" vertical="top" wrapText="1"/>
    </xf>
    <xf numFmtId="0" fontId="30" fillId="0" borderId="0" xfId="0" applyFont="1" applyAlignment="1">
      <alignment horizontal="left" vertical="top" wrapText="1"/>
    </xf>
    <xf numFmtId="0" fontId="0" fillId="0" borderId="12" xfId="0" applyFill="1" applyBorder="1" applyAlignment="1" applyProtection="1">
      <alignment horizontal="left" vertical="center" wrapText="1"/>
    </xf>
    <xf numFmtId="0" fontId="0" fillId="0" borderId="14" xfId="0" applyFill="1" applyBorder="1" applyAlignment="1" applyProtection="1">
      <alignment horizontal="left" vertical="center" wrapText="1"/>
    </xf>
    <xf numFmtId="0" fontId="0" fillId="0" borderId="13" xfId="0" applyFill="1" applyBorder="1" applyAlignment="1" applyProtection="1">
      <alignment horizontal="left" vertical="center" wrapText="1"/>
    </xf>
    <xf numFmtId="1" fontId="0" fillId="9" borderId="12" xfId="0" applyNumberFormat="1" applyFill="1" applyBorder="1" applyAlignment="1" applyProtection="1">
      <alignment horizontal="center" vertical="center" wrapText="1"/>
      <protection locked="0"/>
    </xf>
    <xf numFmtId="1" fontId="0" fillId="9" borderId="13" xfId="0" applyNumberFormat="1" applyFill="1" applyBorder="1" applyAlignment="1" applyProtection="1">
      <alignment horizontal="center" vertical="center" wrapText="1"/>
      <protection locked="0"/>
    </xf>
    <xf numFmtId="0" fontId="0" fillId="0" borderId="12" xfId="0" applyFill="1" applyBorder="1" applyAlignment="1">
      <alignment horizontal="left" vertical="center"/>
    </xf>
    <xf numFmtId="0" fontId="0" fillId="0" borderId="14" xfId="0" applyFill="1" applyBorder="1" applyAlignment="1">
      <alignment horizontal="left" vertical="center"/>
    </xf>
    <xf numFmtId="0" fontId="0" fillId="0" borderId="13" xfId="0" applyFill="1" applyBorder="1" applyAlignment="1">
      <alignment horizontal="left" vertical="center"/>
    </xf>
    <xf numFmtId="0" fontId="0" fillId="9" borderId="12" xfId="0" applyFill="1" applyBorder="1" applyAlignment="1" applyProtection="1">
      <alignment horizontal="center" vertical="center"/>
      <protection locked="0"/>
    </xf>
    <xf numFmtId="0" fontId="0" fillId="9" borderId="13" xfId="0" applyFill="1" applyBorder="1" applyAlignment="1" applyProtection="1">
      <alignment horizontal="center" vertical="center"/>
      <protection locked="0"/>
    </xf>
    <xf numFmtId="9" fontId="0" fillId="9" borderId="12" xfId="0" applyNumberFormat="1" applyFill="1" applyBorder="1" applyAlignment="1" applyProtection="1">
      <alignment horizontal="center" vertical="center" wrapText="1"/>
      <protection locked="0"/>
    </xf>
    <xf numFmtId="9" fontId="0" fillId="9" borderId="13" xfId="0" applyNumberFormat="1" applyFill="1" applyBorder="1" applyAlignment="1" applyProtection="1">
      <alignment horizontal="center" vertical="center" wrapText="1"/>
      <protection locked="0"/>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9" borderId="98" xfId="0" applyFill="1" applyBorder="1" applyAlignment="1" applyProtection="1">
      <alignment horizontal="left" vertical="center" wrapText="1"/>
      <protection locked="0"/>
    </xf>
    <xf numFmtId="0" fontId="0" fillId="9" borderId="99" xfId="0" applyFill="1" applyBorder="1" applyAlignment="1" applyProtection="1">
      <alignment horizontal="left" vertical="center" wrapText="1"/>
      <protection locked="0"/>
    </xf>
    <xf numFmtId="0" fontId="0" fillId="9" borderId="100" xfId="0" applyFill="1" applyBorder="1" applyAlignment="1" applyProtection="1">
      <alignment horizontal="left" vertical="center" wrapText="1"/>
      <protection locked="0"/>
    </xf>
    <xf numFmtId="0" fontId="0" fillId="9" borderId="5" xfId="0" applyFill="1" applyBorder="1" applyAlignment="1" applyProtection="1">
      <alignment horizontal="left" vertical="center" wrapText="1"/>
      <protection locked="0"/>
    </xf>
    <xf numFmtId="0" fontId="0" fillId="9" borderId="6"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0" fillId="9" borderId="95" xfId="0" applyFill="1" applyBorder="1" applyAlignment="1" applyProtection="1">
      <alignment horizontal="left" vertical="center" wrapText="1"/>
      <protection locked="0"/>
    </xf>
    <xf numFmtId="0" fontId="0" fillId="9" borderId="96" xfId="0" applyFill="1" applyBorder="1" applyAlignment="1" applyProtection="1">
      <alignment horizontal="left" vertical="center" wrapText="1"/>
      <protection locked="0"/>
    </xf>
    <xf numFmtId="0" fontId="0" fillId="9" borderId="97" xfId="0" applyFill="1" applyBorder="1" applyAlignment="1" applyProtection="1">
      <alignment horizontal="left" vertical="center" wrapText="1"/>
      <protection locked="0"/>
    </xf>
    <xf numFmtId="0" fontId="0" fillId="2" borderId="5"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9" borderId="9" xfId="0" applyFill="1" applyBorder="1" applyAlignment="1" applyProtection="1">
      <alignment horizontal="left" vertical="center" wrapText="1"/>
      <protection locked="0"/>
    </xf>
    <xf numFmtId="0" fontId="0" fillId="9" borderId="10" xfId="0" applyFill="1" applyBorder="1" applyAlignment="1" applyProtection="1">
      <alignment horizontal="left" vertical="center" wrapText="1"/>
      <protection locked="0"/>
    </xf>
    <xf numFmtId="0" fontId="0" fillId="9" borderId="11" xfId="0" applyFill="1" applyBorder="1" applyAlignment="1" applyProtection="1">
      <alignment horizontal="left" vertical="center" wrapText="1"/>
      <protection locked="0"/>
    </xf>
    <xf numFmtId="0" fontId="0" fillId="9" borderId="12" xfId="0" applyFill="1" applyBorder="1" applyAlignment="1" applyProtection="1">
      <alignment horizontal="center" vertical="center" wrapText="1"/>
      <protection locked="0"/>
    </xf>
    <xf numFmtId="0" fontId="0" fillId="9" borderId="13" xfId="0" applyFill="1" applyBorder="1" applyAlignment="1" applyProtection="1">
      <alignment horizontal="center" vertical="center" wrapText="1"/>
      <protection locked="0"/>
    </xf>
    <xf numFmtId="0" fontId="0" fillId="0" borderId="3" xfId="0" applyBorder="1" applyAlignment="1">
      <alignment horizontal="left" vertical="top"/>
    </xf>
    <xf numFmtId="0" fontId="0" fillId="0" borderId="4" xfId="0" applyBorder="1" applyAlignment="1">
      <alignment horizontal="left" vertical="top"/>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37" fillId="0" borderId="15" xfId="0" applyFont="1" applyBorder="1" applyAlignment="1">
      <alignment horizontal="center" vertical="center" wrapText="1"/>
    </xf>
    <xf numFmtId="0" fontId="37" fillId="0" borderId="16" xfId="0" applyFont="1" applyBorder="1" applyAlignment="1">
      <alignment horizontal="center" vertical="center" wrapText="1"/>
    </xf>
    <xf numFmtId="0" fontId="37" fillId="0" borderId="17" xfId="0" applyFont="1" applyBorder="1" applyAlignment="1">
      <alignment horizontal="center" vertical="center" wrapText="1"/>
    </xf>
    <xf numFmtId="0" fontId="51" fillId="0" borderId="15" xfId="0" applyFont="1" applyBorder="1" applyAlignment="1" applyProtection="1">
      <alignment horizontal="left" vertical="top" wrapText="1"/>
    </xf>
    <xf numFmtId="0" fontId="51" fillId="0" borderId="16" xfId="0" applyFont="1" applyBorder="1" applyAlignment="1" applyProtection="1">
      <alignment horizontal="left" vertical="top" wrapText="1"/>
    </xf>
    <xf numFmtId="0" fontId="51" fillId="0" borderId="17" xfId="0" applyFont="1" applyBorder="1" applyAlignment="1" applyProtection="1">
      <alignment horizontal="left" vertical="top" wrapText="1"/>
    </xf>
    <xf numFmtId="0" fontId="38" fillId="0" borderId="15" xfId="0" applyFont="1" applyBorder="1" applyAlignment="1">
      <alignment horizontal="center" vertical="top" wrapText="1"/>
    </xf>
    <xf numFmtId="0" fontId="38" fillId="0" borderId="16" xfId="0" applyFont="1" applyBorder="1" applyAlignment="1">
      <alignment horizontal="center" vertical="top" wrapText="1"/>
    </xf>
    <xf numFmtId="0" fontId="38" fillId="0" borderId="17" xfId="0" applyFont="1" applyBorder="1" applyAlignment="1">
      <alignment horizontal="center" vertical="top" wrapText="1"/>
    </xf>
    <xf numFmtId="0" fontId="35" fillId="0" borderId="22" xfId="0" applyFont="1" applyBorder="1" applyAlignment="1" applyProtection="1">
      <alignment vertical="center" wrapText="1"/>
    </xf>
    <xf numFmtId="0" fontId="36" fillId="0" borderId="22" xfId="0" applyFont="1" applyBorder="1" applyAlignment="1">
      <alignment vertical="center" wrapText="1"/>
    </xf>
    <xf numFmtId="0" fontId="36" fillId="0" borderId="0" xfId="0" applyFont="1" applyAlignment="1">
      <alignment horizontal="left" vertical="center" wrapText="1"/>
    </xf>
    <xf numFmtId="0" fontId="37" fillId="0" borderId="22" xfId="0" applyFont="1" applyBorder="1" applyAlignment="1">
      <alignment horizontal="center" vertical="center" wrapText="1"/>
    </xf>
    <xf numFmtId="0" fontId="38" fillId="0" borderId="15" xfId="0" applyFont="1" applyBorder="1" applyAlignment="1" applyProtection="1">
      <alignment horizontal="center" vertical="top" wrapText="1"/>
    </xf>
    <xf numFmtId="0" fontId="38" fillId="0" borderId="16" xfId="0" applyFont="1" applyBorder="1" applyAlignment="1" applyProtection="1">
      <alignment horizontal="center" vertical="top" wrapText="1"/>
    </xf>
    <xf numFmtId="0" fontId="38" fillId="0" borderId="17" xfId="0" applyFont="1" applyBorder="1" applyAlignment="1" applyProtection="1">
      <alignment horizontal="center" vertical="top" wrapText="1"/>
    </xf>
    <xf numFmtId="0" fontId="35" fillId="0" borderId="15" xfId="0" applyFont="1" applyBorder="1" applyAlignment="1" applyProtection="1">
      <alignment horizontal="left" vertical="center" wrapText="1"/>
    </xf>
    <xf numFmtId="0" fontId="35" fillId="0" borderId="16" xfId="0" applyFont="1" applyBorder="1" applyAlignment="1" applyProtection="1">
      <alignment horizontal="left" vertical="center" wrapText="1"/>
    </xf>
    <xf numFmtId="0" fontId="35" fillId="0" borderId="17" xfId="0" applyFont="1" applyBorder="1" applyAlignment="1" applyProtection="1">
      <alignment horizontal="left" vertical="center" wrapText="1"/>
    </xf>
    <xf numFmtId="0" fontId="36" fillId="0" borderId="15"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15" xfId="0" applyFont="1" applyBorder="1" applyAlignment="1" applyProtection="1">
      <alignment horizontal="center" vertical="center" wrapText="1"/>
    </xf>
    <xf numFmtId="0" fontId="36" fillId="0" borderId="16" xfId="0" applyFont="1" applyBorder="1" applyAlignment="1" applyProtection="1">
      <alignment horizontal="center" vertical="center" wrapText="1"/>
    </xf>
    <xf numFmtId="0" fontId="36" fillId="0" borderId="17" xfId="0" applyFont="1" applyBorder="1" applyAlignment="1" applyProtection="1">
      <alignment horizontal="center" vertical="center" wrapText="1"/>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14" fontId="0" fillId="0" borderId="0" xfId="0" applyNumberFormat="1" applyAlignment="1" applyProtection="1">
      <alignment horizontal="left"/>
      <protection locked="0"/>
    </xf>
    <xf numFmtId="0" fontId="0" fillId="0" borderId="0" xfId="0" applyAlignment="1" applyProtection="1">
      <alignment horizontal="left"/>
      <protection locked="0"/>
    </xf>
    <xf numFmtId="14" fontId="5" fillId="0" borderId="0" xfId="4" applyNumberFormat="1" applyFont="1" applyBorder="1" applyAlignment="1" applyProtection="1">
      <alignment horizontal="left" vertical="top" wrapText="1"/>
    </xf>
    <xf numFmtId="0" fontId="5" fillId="0" borderId="0" xfId="4" applyNumberFormat="1" applyFont="1" applyBorder="1" applyAlignment="1" applyProtection="1">
      <alignment horizontal="left" vertical="top" wrapText="1"/>
    </xf>
    <xf numFmtId="49" fontId="26" fillId="0" borderId="0" xfId="4" applyNumberFormat="1" applyFont="1" applyBorder="1" applyAlignment="1" applyProtection="1">
      <alignment vertical="top" wrapText="1"/>
      <protection locked="0"/>
    </xf>
    <xf numFmtId="49" fontId="7" fillId="0" borderId="16" xfId="4" applyNumberFormat="1" applyFont="1" applyBorder="1" applyAlignment="1" applyProtection="1">
      <alignment horizontal="left" vertical="top" wrapText="1"/>
    </xf>
    <xf numFmtId="49" fontId="7" fillId="0" borderId="16" xfId="4" applyNumberFormat="1" applyFont="1" applyBorder="1" applyAlignment="1" applyProtection="1">
      <alignment horizontal="center" vertical="top" wrapText="1"/>
    </xf>
    <xf numFmtId="0" fontId="5" fillId="0" borderId="20" xfId="4" applyNumberFormat="1" applyFont="1" applyBorder="1" applyAlignment="1" applyProtection="1">
      <alignment horizontal="left" vertical="top" wrapText="1"/>
    </xf>
    <xf numFmtId="0" fontId="33" fillId="0" borderId="0" xfId="0" applyFont="1" applyAlignment="1" applyProtection="1">
      <alignment horizontal="left" vertical="top" wrapText="1"/>
      <protection locked="0"/>
    </xf>
    <xf numFmtId="168" fontId="24" fillId="0" borderId="6" xfId="3" quotePrefix="1" applyFont="1" applyBorder="1" applyAlignment="1" applyProtection="1">
      <alignment horizontal="left" vertical="top" wrapText="1"/>
    </xf>
    <xf numFmtId="168" fontId="5" fillId="0" borderId="0" xfId="3" quotePrefix="1" applyFont="1" applyBorder="1" applyAlignment="1" applyProtection="1">
      <alignment horizontal="left" vertical="top" wrapText="1"/>
    </xf>
    <xf numFmtId="0" fontId="28" fillId="0" borderId="6" xfId="0" quotePrefix="1" applyFont="1" applyBorder="1" applyAlignment="1" applyProtection="1">
      <alignment horizontal="left" vertical="top" wrapText="1"/>
      <protection locked="0"/>
    </xf>
    <xf numFmtId="168" fontId="5" fillId="0" borderId="0" xfId="3" applyFont="1" applyAlignment="1" applyProtection="1">
      <alignment horizontal="center" vertical="top" wrapText="1"/>
      <protection locked="0"/>
    </xf>
    <xf numFmtId="168" fontId="5" fillId="0" borderId="0" xfId="3" applyFont="1" applyAlignment="1" applyProtection="1">
      <alignment horizontal="center" vertical="center" wrapText="1"/>
      <protection locked="0"/>
    </xf>
    <xf numFmtId="169" fontId="7" fillId="0" borderId="0" xfId="3" applyNumberFormat="1" applyFont="1" applyBorder="1" applyAlignment="1" applyProtection="1">
      <alignment horizontal="center"/>
      <protection locked="0"/>
    </xf>
    <xf numFmtId="169" fontId="7" fillId="0" borderId="2" xfId="3" applyNumberFormat="1" applyFont="1" applyBorder="1" applyAlignment="1" applyProtection="1">
      <alignment horizontal="center"/>
      <protection locked="0"/>
    </xf>
    <xf numFmtId="168" fontId="5" fillId="0" borderId="5" xfId="3" applyFont="1" applyBorder="1" applyAlignment="1" applyProtection="1">
      <alignment horizontal="center" vertical="center"/>
      <protection locked="0"/>
    </xf>
    <xf numFmtId="168" fontId="5" fillId="0" borderId="6" xfId="3" applyFont="1" applyBorder="1" applyAlignment="1" applyProtection="1">
      <alignment horizontal="center" vertical="center"/>
      <protection locked="0"/>
    </xf>
    <xf numFmtId="168" fontId="5" fillId="0" borderId="7" xfId="3" applyFont="1" applyBorder="1" applyAlignment="1" applyProtection="1">
      <alignment horizontal="center" vertical="center"/>
      <protection locked="0"/>
    </xf>
    <xf numFmtId="168" fontId="5" fillId="0" borderId="9" xfId="3" applyFont="1" applyBorder="1" applyAlignment="1" applyProtection="1">
      <alignment horizontal="center" vertical="center"/>
      <protection locked="0"/>
    </xf>
    <xf numFmtId="168" fontId="5" fillId="0" borderId="10" xfId="3" applyFont="1" applyBorder="1" applyAlignment="1" applyProtection="1">
      <alignment horizontal="center" vertical="center"/>
      <protection locked="0"/>
    </xf>
    <xf numFmtId="168" fontId="5" fillId="0" borderId="11" xfId="3" applyFont="1" applyBorder="1" applyAlignment="1" applyProtection="1">
      <alignment horizontal="center" vertical="center"/>
      <protection locked="0"/>
    </xf>
    <xf numFmtId="168" fontId="5" fillId="0" borderId="0" xfId="3" applyFont="1" applyAlignment="1" applyProtection="1">
      <alignment horizontal="center" vertical="center"/>
      <protection locked="0"/>
    </xf>
    <xf numFmtId="168" fontId="5" fillId="0" borderId="2" xfId="3" applyFont="1" applyBorder="1" applyAlignment="1" applyProtection="1">
      <alignment horizontal="center" vertical="center"/>
      <protection locked="0"/>
    </xf>
    <xf numFmtId="49" fontId="26" fillId="0" borderId="6" xfId="4" applyNumberFormat="1" applyFont="1" applyBorder="1" applyAlignment="1" applyProtection="1">
      <alignment vertical="top" wrapText="1"/>
      <protection locked="0"/>
    </xf>
    <xf numFmtId="168" fontId="29" fillId="0" borderId="19" xfId="3" applyFont="1" applyBorder="1" applyAlignment="1" applyProtection="1">
      <alignment horizontal="center" vertical="center" wrapText="1"/>
      <protection locked="0"/>
    </xf>
    <xf numFmtId="168" fontId="29" fillId="0" borderId="20" xfId="3" applyFont="1" applyBorder="1" applyAlignment="1" applyProtection="1">
      <alignment horizontal="center" vertical="center" wrapText="1"/>
      <protection locked="0"/>
    </xf>
    <xf numFmtId="168" fontId="29" fillId="0" borderId="21" xfId="3" applyFont="1" applyBorder="1" applyAlignment="1" applyProtection="1">
      <alignment horizontal="center" vertical="center" wrapText="1"/>
      <protection locked="0"/>
    </xf>
    <xf numFmtId="168" fontId="29" fillId="0" borderId="57" xfId="3" applyFont="1" applyBorder="1" applyAlignment="1" applyProtection="1">
      <alignment horizontal="center" vertical="center" wrapText="1"/>
      <protection locked="0"/>
    </xf>
    <xf numFmtId="168" fontId="29" fillId="0" borderId="0" xfId="3" applyFont="1" applyBorder="1" applyAlignment="1" applyProtection="1">
      <alignment horizontal="center" vertical="center" wrapText="1"/>
      <protection locked="0"/>
    </xf>
    <xf numFmtId="168" fontId="29" fillId="0" borderId="58" xfId="3" applyFont="1" applyBorder="1" applyAlignment="1" applyProtection="1">
      <alignment horizontal="center" vertical="center" wrapText="1"/>
      <protection locked="0"/>
    </xf>
    <xf numFmtId="168" fontId="29" fillId="0" borderId="39" xfId="3" applyFont="1" applyBorder="1" applyAlignment="1" applyProtection="1">
      <alignment horizontal="center" vertical="center" wrapText="1"/>
      <protection locked="0"/>
    </xf>
    <xf numFmtId="168" fontId="29" fillId="0" borderId="59" xfId="3" applyFont="1" applyBorder="1" applyAlignment="1" applyProtection="1">
      <alignment horizontal="center" vertical="center" wrapText="1"/>
      <protection locked="0"/>
    </xf>
    <xf numFmtId="168" fontId="29" fillId="0" borderId="60" xfId="3" applyFont="1" applyBorder="1" applyAlignment="1" applyProtection="1">
      <alignment horizontal="center" vertical="center" wrapText="1"/>
      <protection locked="0"/>
    </xf>
    <xf numFmtId="168" fontId="5" fillId="0" borderId="57" xfId="3" applyFont="1" applyBorder="1" applyAlignment="1" applyProtection="1">
      <alignment horizontal="left" vertical="top" wrapText="1"/>
      <protection locked="0"/>
    </xf>
    <xf numFmtId="168" fontId="5" fillId="0" borderId="0" xfId="3" applyFont="1" applyAlignment="1" applyProtection="1">
      <alignment horizontal="left" vertical="top" wrapText="1"/>
      <protection locked="0"/>
    </xf>
    <xf numFmtId="168" fontId="7" fillId="0" borderId="0" xfId="3" applyFont="1" applyAlignment="1" applyProtection="1">
      <alignment horizontal="right" vertical="top" wrapText="1"/>
    </xf>
    <xf numFmtId="168" fontId="2" fillId="7" borderId="0" xfId="3" applyFont="1" applyFill="1" applyAlignment="1" applyProtection="1">
      <alignment horizontal="right" vertical="center" indent="1"/>
      <protection locked="0"/>
    </xf>
    <xf numFmtId="14" fontId="5" fillId="15" borderId="0" xfId="3" applyNumberFormat="1" applyFont="1" applyFill="1" applyAlignment="1" applyProtection="1">
      <alignment horizontal="left" vertical="top"/>
      <protection locked="0"/>
    </xf>
    <xf numFmtId="168" fontId="5" fillId="0" borderId="0" xfId="3" applyFont="1" applyAlignment="1" applyProtection="1">
      <alignment horizontal="center" vertical="center" wrapText="1"/>
    </xf>
    <xf numFmtId="0" fontId="21" fillId="0" borderId="56" xfId="3" applyNumberFormat="1" applyFont="1" applyBorder="1" applyAlignment="1" applyProtection="1">
      <alignment horizontal="center" vertical="center"/>
    </xf>
    <xf numFmtId="168" fontId="5" fillId="0" borderId="0" xfId="3" applyFont="1" applyAlignment="1" applyProtection="1">
      <alignment horizontal="left" vertical="top" shrinkToFit="1"/>
    </xf>
    <xf numFmtId="0" fontId="5" fillId="0" borderId="0" xfId="4" applyFont="1" applyAlignment="1" applyProtection="1">
      <alignment horizontal="left" vertical="center" wrapText="1"/>
    </xf>
    <xf numFmtId="0" fontId="8" fillId="0" borderId="0" xfId="0" applyFont="1" applyAlignment="1" applyProtection="1">
      <alignment horizontal="left" vertical="top" wrapText="1"/>
    </xf>
    <xf numFmtId="168" fontId="19" fillId="0" borderId="0" xfId="3"/>
    <xf numFmtId="168" fontId="5" fillId="0" borderId="6" xfId="3" quotePrefix="1" applyFont="1" applyBorder="1" applyAlignment="1" applyProtection="1">
      <alignment horizontal="left" vertical="top" wrapText="1"/>
    </xf>
    <xf numFmtId="168" fontId="5" fillId="0" borderId="0" xfId="3" applyFont="1" applyAlignment="1" applyProtection="1">
      <alignment horizontal="left" vertical="center" wrapText="1"/>
    </xf>
    <xf numFmtId="0" fontId="0" fillId="0" borderId="0" xfId="0" applyAlignment="1">
      <alignment horizontal="left" wrapText="1"/>
    </xf>
    <xf numFmtId="0" fontId="26" fillId="0" borderId="0" xfId="4" applyNumberFormat="1" applyFont="1" applyBorder="1" applyAlignment="1" applyProtection="1">
      <alignment horizontal="left" vertical="top" wrapText="1"/>
    </xf>
    <xf numFmtId="49" fontId="5" fillId="0" borderId="0" xfId="4" applyNumberFormat="1" applyFont="1" applyBorder="1" applyAlignment="1" applyProtection="1">
      <alignment horizontal="left" vertical="top" wrapText="1"/>
    </xf>
    <xf numFmtId="0" fontId="25" fillId="0" borderId="6" xfId="0" applyFont="1" applyBorder="1" applyAlignment="1">
      <alignment horizontal="left" vertical="top" wrapText="1"/>
    </xf>
    <xf numFmtId="168" fontId="5" fillId="0" borderId="0" xfId="3" applyFont="1" applyAlignment="1" applyProtection="1">
      <alignment horizontal="left" vertical="top" wrapText="1"/>
    </xf>
    <xf numFmtId="168" fontId="5" fillId="0" borderId="0" xfId="3" applyFont="1" applyAlignment="1" applyProtection="1">
      <alignment horizontal="left" vertical="top"/>
    </xf>
    <xf numFmtId="168" fontId="5" fillId="0" borderId="6" xfId="3" applyFont="1" applyBorder="1" applyAlignment="1" applyProtection="1">
      <alignment horizontal="left" vertical="top" wrapText="1"/>
    </xf>
    <xf numFmtId="0" fontId="5" fillId="0" borderId="0" xfId="4" applyFont="1" applyAlignment="1" applyProtection="1">
      <alignment horizontal="left" vertical="center"/>
    </xf>
    <xf numFmtId="0" fontId="5" fillId="0" borderId="0" xfId="4" applyFont="1" applyAlignment="1" applyProtection="1">
      <alignment horizontal="left" vertical="top"/>
    </xf>
    <xf numFmtId="0" fontId="0" fillId="0" borderId="6" xfId="0" applyBorder="1" applyAlignment="1">
      <alignment wrapText="1"/>
    </xf>
    <xf numFmtId="0" fontId="31" fillId="0" borderId="0" xfId="5" applyAlignment="1">
      <alignment horizontal="left" vertical="top" wrapText="1"/>
    </xf>
  </cellXfs>
  <cellStyles count="8">
    <cellStyle name="Check Cell" xfId="2" builtinId="23"/>
    <cellStyle name="Currency" xfId="1" builtinId="4"/>
    <cellStyle name="Hyperlink" xfId="5" builtinId="8"/>
    <cellStyle name="Hyperlink 2" xfId="7" xr:uid="{D964A6C2-95E6-4495-869E-76E03B779BDA}"/>
    <cellStyle name="Normal" xfId="0" builtinId="0"/>
    <cellStyle name="Normal 2" xfId="6" xr:uid="{CE547BE6-683D-4B20-9F54-2635E0FA33FD}"/>
    <cellStyle name="Normal 6" xfId="4" xr:uid="{F1FABD70-FA75-439D-8787-C37CF66F4A16}"/>
    <cellStyle name="Normal_WAMRF-005 (draft-6), Volume Gravimetric" xfId="3" xr:uid="{00B64298-578D-4B68-8803-F444BE770494}"/>
  </cellStyles>
  <dxfs count="8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rgb="FFFFC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AA306"/>
        </patternFill>
      </fill>
    </dxf>
    <dxf>
      <fill>
        <patternFill patternType="none">
          <bgColor auto="1"/>
        </patternFill>
      </fill>
    </dxf>
    <dxf>
      <fill>
        <patternFill patternType="none">
          <bgColor auto="1"/>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b/>
        <i/>
        <strike val="0"/>
        <condense val="0"/>
        <extend val="0"/>
        <u val="double"/>
        <color indexed="10"/>
      </font>
      <fill>
        <patternFill>
          <bgColor indexed="9"/>
        </patternFill>
      </fill>
    </dxf>
    <dxf>
      <font>
        <b/>
        <i val="0"/>
        <strike val="0"/>
        <condense val="0"/>
        <extend val="0"/>
        <color indexed="17"/>
      </font>
      <fill>
        <patternFill>
          <bgColor indexed="9"/>
        </patternFill>
      </fill>
    </dxf>
    <dxf>
      <fill>
        <patternFill>
          <bgColor indexed="26"/>
        </patternFill>
      </fill>
    </dxf>
    <dxf>
      <fill>
        <patternFill>
          <bgColor indexed="26"/>
        </patternFill>
      </fill>
    </dxf>
    <dxf>
      <fill>
        <patternFill>
          <bgColor indexed="26"/>
        </patternFill>
      </fill>
    </dxf>
    <dxf>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numFmt numFmtId="165" formatCode="yyyy\-mm\-dd"/>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numFmt numFmtId="0" formatCode="General"/>
      <fill>
        <patternFill patternType="none">
          <fgColor indexed="64"/>
          <bgColor auto="1"/>
        </patternFill>
      </fill>
      <alignment horizontal="center" vertical="center" textRotation="0" wrapText="1" indent="0" justifyLastLine="0" shrinkToFit="0" readingOrder="0"/>
      <protection locked="1" hidden="0"/>
    </dxf>
    <dxf>
      <numFmt numFmtId="0" formatCode="General"/>
      <fill>
        <patternFill patternType="none">
          <fgColor indexed="64"/>
          <bgColor auto="1"/>
        </patternFill>
      </fill>
      <alignment horizontal="center" vertical="center" textRotation="0" wrapText="1" indent="0" justifyLastLine="0" shrinkToFit="0" readingOrder="0"/>
      <protection locked="1" hidden="0"/>
    </dxf>
    <dxf>
      <numFmt numFmtId="0" formatCode="General"/>
      <fill>
        <patternFill patternType="none">
          <fgColor indexed="64"/>
          <bgColor auto="1"/>
        </patternFill>
      </fill>
      <alignment horizontal="center" vertical="center" textRotation="0" wrapText="1" indent="0" justifyLastLine="0" shrinkToFit="0" readingOrder="0"/>
      <protection locked="1" hidden="0"/>
    </dxf>
    <dxf>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1" hidden="0"/>
    </dxf>
    <dxf>
      <border diagonalUp="0" diagonalDown="0">
        <left style="thin">
          <color rgb="FF000000"/>
        </left>
        <right style="thin">
          <color rgb="FF000000"/>
        </right>
        <top style="thin">
          <color rgb="FF000000"/>
        </top>
        <bottom style="thin">
          <color rgb="FF000000"/>
        </bottom>
      </border>
    </dxf>
    <dxf>
      <alignment horizontal="center" vertical="center" textRotation="0" wrapText="1" indent="0" justifyLastLine="0" shrinkToFit="0" readingOrder="0"/>
      <protection locked="0" hidden="0"/>
    </dxf>
    <dxf>
      <alignment horizontal="center" vertical="bottom" textRotation="0" wrapText="1" indent="0" justifyLastLine="0" shrinkToFit="0" readingOrder="0"/>
    </dxf>
    <dxf>
      <fill>
        <patternFill patternType="none">
          <fgColor indexed="64"/>
          <bgColor auto="1"/>
        </patternFill>
      </fill>
      <border diagonalUp="0" diagonalDown="0">
        <left/>
        <right style="double">
          <color indexed="64"/>
        </right>
        <top/>
        <bottom/>
        <vertical/>
        <horizontal/>
      </border>
    </dxf>
    <dxf>
      <fill>
        <patternFill patternType="none">
          <fgColor indexed="64"/>
          <bgColor auto="1"/>
        </patternFill>
      </fill>
    </dxf>
    <dxf>
      <fill>
        <patternFill patternType="none">
          <fgColor indexed="64"/>
          <bgColor auto="1"/>
        </patternFill>
      </fill>
      <alignment horizont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auto="1"/>
        </patternFill>
      </fill>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textRotation="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auto="1"/>
        </patternFill>
      </fill>
      <alignment horizontal="center" textRotation="0" wrapText="0" indent="0" justifyLastLine="0" shrinkToFit="0" readingOrder="0"/>
      <border diagonalUp="0" diagonalDown="0" outline="0">
        <left style="double">
          <color indexed="64"/>
        </left>
        <right/>
        <top/>
        <bottom/>
      </border>
    </dxf>
    <dxf>
      <fill>
        <patternFill patternType="none">
          <fgColor indexed="64"/>
          <bgColor auto="1"/>
        </patternFill>
      </fill>
    </dxf>
    <dxf>
      <border>
        <bottom style="medium">
          <color indexed="64"/>
        </bottom>
      </border>
    </dxf>
    <dxf>
      <fill>
        <patternFill patternType="none">
          <fgColor indexed="64"/>
          <bgColor auto="1"/>
        </patternFill>
      </fill>
      <border diagonalUp="0" diagonalDown="0">
        <left/>
        <right/>
        <top/>
        <bottom/>
        <vertical/>
        <horizontal/>
      </border>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auto="1"/>
        <name val="Verdana"/>
        <family val="2"/>
        <scheme val="none"/>
      </font>
      <alignment horizontal="center" vertical="top" textRotation="0" wrapText="0" indent="0" justifyLastLine="0" shrinkToFit="0" readingOrder="0"/>
    </dxf>
    <dxf>
      <alignment horizontal="center" textRotation="0" indent="0" justifyLastLine="0" shrinkToFit="0" readingOrder="0"/>
    </dxf>
    <dxf>
      <alignment horizontal="general" vertical="bottom" textRotation="0" wrapText="1" indent="0" justifyLastLine="0" shrinkToFit="0" readingOrder="0"/>
      <border diagonalUp="0" diagonalDown="0">
        <left style="hair">
          <color indexed="64"/>
        </left>
        <right/>
        <top style="hair">
          <color indexed="64"/>
        </top>
        <bottom/>
        <vertical/>
        <horizontal/>
      </border>
    </dxf>
    <dxf>
      <alignment horizontal="center" vertical="center" textRotation="0" wrapText="0" indent="0" justifyLastLine="0" shrinkToFit="0" readingOrder="0"/>
      <border diagonalUp="0" diagonalDown="0">
        <left style="hair">
          <color indexed="64"/>
        </left>
        <right style="hair">
          <color indexed="64"/>
        </right>
        <top style="hair">
          <color indexed="64"/>
        </top>
        <bottom/>
        <vertical/>
        <horizontal/>
      </border>
    </dxf>
    <dxf>
      <numFmt numFmtId="170" formatCode="yyyymmdd"/>
      <alignment horizontal="center" vertical="center" textRotation="0" wrapText="0" indent="0" justifyLastLine="0" shrinkToFit="0" readingOrder="0"/>
      <border diagonalUp="0" diagonalDown="0">
        <left/>
        <right style="hair">
          <color indexed="64"/>
        </right>
        <top style="hair">
          <color indexed="64"/>
        </top>
        <bottom/>
        <vertical/>
        <horizontal/>
      </border>
    </dxf>
    <dxf>
      <border outline="0">
        <top style="hair">
          <color indexed="64"/>
        </top>
      </border>
    </dxf>
    <dxf>
      <border outline="0">
        <left style="double">
          <color auto="1"/>
        </left>
        <right style="double">
          <color auto="1"/>
        </right>
        <top style="double">
          <color indexed="64"/>
        </top>
        <bottom style="double">
          <color auto="1"/>
        </bottom>
      </border>
    </dxf>
    <dxf>
      <border outline="0">
        <bottom style="hair">
          <color indexed="64"/>
        </bottom>
      </border>
    </dxf>
    <dxf>
      <alignment horizontal="center" textRotation="0" wrapText="0" indent="0" justifyLastLine="0" shrinkToFit="0" readingOrder="0"/>
    </dxf>
  </dxfs>
  <tableStyles count="0" defaultTableStyle="TableStyleMedium2" defaultPivotStyle="PivotStyleLight16"/>
  <colors>
    <mruColors>
      <color rgb="FFCC99FF"/>
      <color rgb="FFC9E7A7"/>
      <color rgb="FFFF7C80"/>
      <color rgb="FF99FF33"/>
      <color rgb="FFFFFF99"/>
      <color rgb="FFB6DF89"/>
      <color rgb="FF99FF66"/>
      <color rgb="FFCCFF99"/>
      <color rgb="FFFFFF61"/>
      <color rgb="FFF8F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15</xdr:row>
      <xdr:rowOff>0</xdr:rowOff>
    </xdr:from>
    <xdr:to>
      <xdr:col>11</xdr:col>
      <xdr:colOff>84341</xdr:colOff>
      <xdr:row>31</xdr:row>
      <xdr:rowOff>172720</xdr:rowOff>
    </xdr:to>
    <xdr:pic>
      <xdr:nvPicPr>
        <xdr:cNvPr id="2" name="Picture 1">
          <a:extLst>
            <a:ext uri="{FF2B5EF4-FFF2-40B4-BE49-F238E27FC236}">
              <a16:creationId xmlns:a16="http://schemas.microsoft.com/office/drawing/2014/main" id="{6ED39080-8B74-F901-D695-EA0453AFD48A}"/>
            </a:ext>
          </a:extLst>
        </xdr:cNvPr>
        <xdr:cNvPicPr>
          <a:picLocks noChangeAspect="1"/>
        </xdr:cNvPicPr>
      </xdr:nvPicPr>
      <xdr:blipFill>
        <a:blip xmlns:r="http://schemas.openxmlformats.org/officeDocument/2006/relationships" r:embed="rId1"/>
        <a:srcRect l="15914" t="26432" r="64970" b="38684"/>
        <a:stretch>
          <a:fillRect/>
        </a:stretch>
      </xdr:blipFill>
      <xdr:spPr>
        <a:xfrm>
          <a:off x="3511550" y="3524250"/>
          <a:ext cx="4008641" cy="3931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1</xdr:row>
      <xdr:rowOff>47625</xdr:rowOff>
    </xdr:from>
    <xdr:to>
      <xdr:col>2</xdr:col>
      <xdr:colOff>3175</xdr:colOff>
      <xdr:row>5</xdr:row>
      <xdr:rowOff>86698</xdr:rowOff>
    </xdr:to>
    <xdr:pic>
      <xdr:nvPicPr>
        <xdr:cNvPr id="3" name="Picture 2">
          <a:extLst>
            <a:ext uri="{FF2B5EF4-FFF2-40B4-BE49-F238E27FC236}">
              <a16:creationId xmlns:a16="http://schemas.microsoft.com/office/drawing/2014/main" id="{3E16C939-8983-4287-BFC1-41D3A63CE9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238125"/>
          <a:ext cx="1689100" cy="779907"/>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ADCAD561-4463-4F2C-8BCE-4B53F0B21D46}" autoFormatId="16" applyNumberFormats="0" applyBorderFormats="0" applyFontFormats="0" applyPatternFormats="0" applyAlignmentFormats="0" applyWidthHeightFormats="0">
  <queryTableRefresh nextId="37" unboundColumnsRight="1">
    <queryTableFields count="25">
      <queryTableField id="1" name="ID" tableColumnId="1"/>
      <queryTableField id="5" name="Serial Number" tableColumnId="22"/>
      <queryTableField id="3" name="Description" tableColumnId="3"/>
      <queryTableField id="2" name="Manufacturer" tableColumnId="2"/>
      <queryTableField id="4" name="Model Number" tableColumnId="4"/>
      <queryTableField id="18" dataBound="0" tableColumnId="14"/>
      <queryTableField id="19" dataBound="0" tableColumnId="15"/>
      <queryTableField id="22" dataBound="0" tableColumnId="18"/>
      <queryTableField id="20" dataBound="0" tableColumnId="16"/>
      <queryTableField id="21" dataBound="0" tableColumnId="17"/>
      <queryTableField id="23" dataBound="0" tableColumnId="19"/>
      <queryTableField id="10" name="Replacement Value" tableColumnId="23"/>
      <queryTableField id="35" dataBound="0" tableColumnId="31"/>
      <queryTableField id="36" dataBound="0" tableColumnId="5"/>
      <queryTableField id="9" name="File name containing Ref value &amp; U" tableColumnId="30"/>
      <queryTableField id="7" name="Owner" tableColumnId="7"/>
      <queryTableField id="29" dataBound="0" tableColumnId="25"/>
      <queryTableField id="28" dataBound="0" tableColumnId="24"/>
      <queryTableField id="30" dataBound="0" tableColumnId="26"/>
      <queryTableField id="31" dataBound="0" tableColumnId="27"/>
      <queryTableField id="32" dataBound="0" tableColumnId="28"/>
      <queryTableField id="33" dataBound="0" tableColumnId="29"/>
      <queryTableField id="27" dataBound="0" tableColumnId="10"/>
      <queryTableField id="8" name="Notes" tableColumnId="8"/>
      <queryTableField id="25" dataBound="0" tableColumnId="9"/>
    </queryTableFields>
    <queryTableDeletedFields count="2">
      <deletedField name="Current Location"/>
      <deletedField name="Density"/>
    </queryTableDeletedFields>
  </queryTableRefresh>
</queryTable>
</file>

<file path=xl/tables/_rels/table3.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D0BB1A-CD08-4171-8EA3-5FD03FA6A310}" name="Table2" displayName="Table2" ref="A2:C27" totalsRowShown="0" headerRowDxfId="85" headerRowBorderDxfId="84" tableBorderDxfId="83" totalsRowBorderDxfId="82">
  <autoFilter ref="A2:C27" xr:uid="{67D0BB1A-CD08-4171-8EA3-5FD03FA6A310}"/>
  <tableColumns count="3">
    <tableColumn id="1" xr3:uid="{FB4BD4CE-8216-4CFC-8522-943146B2AA47}" name="Revision Date" dataDxfId="81"/>
    <tableColumn id="2" xr3:uid="{98B79D60-A386-4016-90D9-EE9BEE9277EE}" name="By" dataDxfId="80"/>
    <tableColumn id="3" xr3:uid="{3058E0F2-7ADB-4FBA-BC33-FE57DEE57CCE}" name="Comments" dataDxfId="7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62DD7D6-1627-43C1-A4FC-1816DA11F070}" name="Table24" displayName="Table24" ref="A7:B35" totalsRowShown="0" headerRowDxfId="78">
  <autoFilter ref="A7:B35" xr:uid="{4F94A74C-CFB8-4463-B765-0BFE2BAFE35C}"/>
  <sortState xmlns:xlrd2="http://schemas.microsoft.com/office/spreadsheetml/2017/richdata2" ref="A8:B28">
    <sortCondition ref="A9:A28"/>
  </sortState>
  <tableColumns count="2">
    <tableColumn id="1" xr3:uid="{B4936857-BFE3-44A6-8998-789FC965DAEA}" name="Item" dataDxfId="77"/>
    <tableColumn id="2" xr3:uid="{4E507E3E-DCCE-4413-A5A6-6C25B7F0AD22}" name="Instructions and Tips for Using this Workbook _x000a_Ensure familiarity and use of Standard Operating Procedure for OWM PT Planning, Operating, Analyzing, and Reporting PT Results" dataDxfId="7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D0E9074-9CE0-4E37-8C10-2FBD6B9156F8}" name="Artifact_Inventory" displayName="Artifact_Inventory" ref="AL2:BJ86" tableType="queryTable" totalsRowShown="0" headerRowDxfId="75" dataDxfId="73" headerRowBorderDxfId="74" headerRowCellStyle="Normal 6" dataCellStyle="Normal 6">
  <autoFilter ref="AL2:BJ86" xr:uid="{3D0E9074-9CE0-4E37-8C10-2FBD6B9156F8}"/>
  <sortState xmlns:xlrd2="http://schemas.microsoft.com/office/spreadsheetml/2017/richdata2" ref="AL3:BJ86">
    <sortCondition descending="1" ref="BJ3:BJ86"/>
  </sortState>
  <tableColumns count="25">
    <tableColumn id="1" xr3:uid="{6807F0D7-C3C0-4730-9ED4-9BB48DAD8B4B}" uniqueName="1" name="ID" queryTableFieldId="1" dataDxfId="72" dataCellStyle="Normal 6"/>
    <tableColumn id="22" xr3:uid="{C5FD7AA9-042D-4947-BCEE-2D91A8CFDABC}" uniqueName="22" name="Artifact Serial Number" queryTableFieldId="5" dataDxfId="71" dataCellStyle="Normal 6"/>
    <tableColumn id="3" xr3:uid="{EF5B0343-3F74-4882-ACFF-0D0F20A43511}" uniqueName="3" name="Description" queryTableFieldId="3" dataDxfId="70" dataCellStyle="Normal 6"/>
    <tableColumn id="2" xr3:uid="{28D7CA63-A98B-4FB2-81BE-573D88E43CDB}" uniqueName="2" name="Manufacturer" queryTableFieldId="2" dataDxfId="69" dataCellStyle="Normal 6"/>
    <tableColumn id="4" xr3:uid="{50EE8899-E89C-4C94-84A8-FCC036FE3724}" uniqueName="4" name="Model/Design" queryTableFieldId="4" dataDxfId="68" dataCellStyle="Normal 6"/>
    <tableColumn id="14" xr3:uid="{FD68CBCF-4C6E-4B83-93BA-D898228AF1D7}" uniqueName="14" name="Range/ Nominal" queryTableFieldId="18" dataDxfId="67" dataCellStyle="Normal 6"/>
    <tableColumn id="15" xr3:uid="{5C35E020-7867-4666-AC31-D29267BE3B53}" uniqueName="15" name="Number of pieces" queryTableFieldId="19" dataDxfId="66" dataCellStyle="Normal 6"/>
    <tableColumn id="18" xr3:uid="{8D2FBE96-A2CF-4DDB-B62B-BB28982C3C48}" uniqueName="18" name="Tolerance classification" queryTableFieldId="22" dataDxfId="65" dataCellStyle="Normal 6"/>
    <tableColumn id="16" xr3:uid="{604D8F55-1BCE-4BB0-9B6B-CEF57781A1B4}" uniqueName="16" name="Material" queryTableFieldId="20" dataDxfId="64" dataCellStyle="Normal 6"/>
    <tableColumn id="17" xr3:uid="{C2FE2548-A133-44D5-A5C9-F225AD944492}" uniqueName="17" name="Density" queryTableFieldId="21" dataDxfId="63" dataCellStyle="Normal 6"/>
    <tableColumn id="19" xr3:uid="{7B1C15D8-B131-4B91-9BDB-B11AC3A99114}" uniqueName="19" name="Coefficient of Expansion (specify linear or cubical):" queryTableFieldId="23" dataDxfId="62" dataCellStyle="Normal 6"/>
    <tableColumn id="23" xr3:uid="{D6158CCA-D056-48C9-BC0F-B542CF917D98}" uniqueName="23" name="Replacement Value" queryTableFieldId="10" dataDxfId="61" dataCellStyle="Normal 6"/>
    <tableColumn id="31" xr3:uid="{A4685A18-B08B-41FD-B047-06AD2183A9FB}" uniqueName="31" name="Ship Weight (lb)" queryTableFieldId="35" dataDxfId="60" dataCellStyle="Normal 6"/>
    <tableColumn id="5" xr3:uid="{398EC0CD-E9F4-44C9-9BC5-BEB210C49AC6}" uniqueName="5" name="Neck graduation" queryTableFieldId="36" dataDxfId="59" dataCellStyle="Normal 6"/>
    <tableColumn id="30" xr3:uid="{34FEB502-D380-4856-9820-F334E8D33EB6}" uniqueName="30" name="File name containing Ref value &amp; U" queryTableFieldId="9" dataDxfId="58" dataCellStyle="Normal 6"/>
    <tableColumn id="7" xr3:uid="{6E89645B-FFB0-4768-A41F-08F0F37C116A}" uniqueName="7" name="Owner" queryTableFieldId="7" dataDxfId="57" dataCellStyle="Normal 6"/>
    <tableColumn id="25" xr3:uid="{EBE08044-F54C-4097-BA6C-42DDAF5F25B2}" uniqueName="25" name="Contact's Name" queryTableFieldId="29" dataDxfId="56" dataCellStyle="Normal 6"/>
    <tableColumn id="24" xr3:uid="{806423C4-042B-4506-8562-D965FFE3E392}" uniqueName="24" name="Email" queryTableFieldId="28" dataDxfId="55" dataCellStyle="Normal 6"/>
    <tableColumn id="26" xr3:uid="{5DD5F02D-E08A-48DA-BA1D-22A43E87D492}" uniqueName="26" name="Phone" queryTableFieldId="30" dataDxfId="54" dataCellStyle="Normal 6"/>
    <tableColumn id="27" xr3:uid="{38C0AEDD-4EE5-4651-86C0-4ADFC33B7E83}" uniqueName="27" name="Address" queryTableFieldId="31" dataDxfId="53" dataCellStyle="Normal 6"/>
    <tableColumn id="28" xr3:uid="{DF876F1E-CAE1-46ED-BF38-250BADF969CE}" uniqueName="28" name="City" queryTableFieldId="32" dataDxfId="52" dataCellStyle="Normal 6"/>
    <tableColumn id="29" xr3:uid="{63CEA3BD-996D-408D-BB70-F6B5826A497B}" uniqueName="29" name="State" queryTableFieldId="33" dataDxfId="51" dataCellStyle="Normal 6"/>
    <tableColumn id="10" xr3:uid="{4B31F7F1-2726-404C-93E1-C1C50BC85714}" uniqueName="10" name="Zip Code:" queryTableFieldId="27" dataDxfId="50" dataCellStyle="Normal 6"/>
    <tableColumn id="8" xr3:uid="{F946E2F6-8126-4D7C-A7F4-4A2383B3BFA9}" uniqueName="8" name="Notes" queryTableFieldId="8" dataDxfId="49" dataCellStyle="Normal 6"/>
    <tableColumn id="9" xr3:uid="{4436F5A4-455B-4A16-8CF0-77C293501F9E}" uniqueName="9" name="Column1" queryTableFieldId="25" dataDxfId="48" dataCellStyle="Normal 6"/>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2" displayName="Table152" ref="A10:M38" totalsRowShown="0" headerRowDxfId="47" dataDxfId="46" tableBorderDxfId="45">
  <tableColumns count="13">
    <tableColumn id="1" xr3:uid="{00000000-0010-0000-0000-000001000000}" name="ID" dataDxfId="44"/>
    <tableColumn id="13" xr3:uid="{00000000-0010-0000-0000-00000D000000}" name="Type" dataDxfId="43"/>
    <tableColumn id="2" xr3:uid="{00000000-0010-0000-0000-000002000000}" name="Laboratory/ Organization" dataDxfId="42"/>
    <tableColumn id="12" xr3:uid="{53DBD195-46D9-4FCB-A24E-C9AB2A7D1521}" name="Lab Contact" dataDxfId="41">
      <calculatedColumnFormula>IF(Table152[[#This Row],[Laboratory/ Organization]]="","",VLOOKUP(Table152[[#This Row],[Laboratory/ Organization]],'P4; Addresses &amp; Contacts'!$B$12:$I$46,2,FALSE))</calculatedColumnFormula>
    </tableColumn>
    <tableColumn id="3" xr3:uid="{00000000-0010-0000-0000-000003000000}" name="(Email)" dataDxfId="40">
      <calculatedColumnFormula>IF(Table152[[#This Row],[Laboratory/ Organization]]="","",VLOOKUP(Table152[[#This Row],[Laboratory/ Organization]],'P4; Addresses &amp; Contacts'!$B$12:$I$46,3,FALSE))</calculatedColumnFormula>
    </tableColumn>
    <tableColumn id="4" xr3:uid="{00000000-0010-0000-0000-000004000000}" name="(Phone)" dataDxfId="39">
      <calculatedColumnFormula>IF(Table152[[#This Row],[Laboratory/ Organization]]="","",VLOOKUP(Table152[[#This Row],[Laboratory/ Organization]],'P4; Addresses &amp; Contacts'!$B$12:$I$46,4,FALSE))</calculatedColumnFormula>
    </tableColumn>
    <tableColumn id="5" xr3:uid="{00000000-0010-0000-0000-000005000000}" name="Issue" dataDxfId="38"/>
    <tableColumn id="6" xr3:uid="{00000000-0010-0000-0000-000006000000}" name="Notify NIST?" dataDxfId="37"/>
    <tableColumn id="7" xr3:uid="{00000000-0010-0000-0000-000007000000}" name="Suggested Resolution" dataDxfId="36"/>
    <tableColumn id="8" xr3:uid="{00000000-0010-0000-0000-000008000000}" name="Assigned To" dataDxfId="35"/>
    <tableColumn id="9" xr3:uid="{00000000-0010-0000-0000-000009000000}" name="Due Date" dataDxfId="34"/>
    <tableColumn id="10" xr3:uid="{00000000-0010-0000-0000-00000A000000}" name="Evaluation" dataDxfId="33"/>
    <tableColumn id="11" xr3:uid="{00000000-0010-0000-0000-00000B000000}" name="Comments" dataDxfId="32"/>
  </tableColumns>
  <tableStyleInfo name="TableStyleLight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mailto:elizabeth.koncki@nist.gov" TargetMode="External"/><Relationship Id="rId13" Type="http://schemas.openxmlformats.org/officeDocument/2006/relationships/hyperlink" Target="mailto:Megan.Money@FDACS.gov" TargetMode="External"/><Relationship Id="rId18" Type="http://schemas.openxmlformats.org/officeDocument/2006/relationships/hyperlink" Target="mailto:bradford.bachelder@maine.gov" TargetMode="External"/><Relationship Id="rId26" Type="http://schemas.openxmlformats.org/officeDocument/2006/relationships/hyperlink" Target="mailto:robert.rogers@ncagr.gov" TargetMode="External"/><Relationship Id="rId3" Type="http://schemas.openxmlformats.org/officeDocument/2006/relationships/hyperlink" Target="mailto:micheal.hicks@nist.gov" TargetMode="External"/><Relationship Id="rId21" Type="http://schemas.openxmlformats.org/officeDocument/2006/relationships/hyperlink" Target="mailto:layfieldbd@ornl.gov" TargetMode="External"/><Relationship Id="rId7" Type="http://schemas.openxmlformats.org/officeDocument/2006/relationships/hyperlink" Target="mailto:micheal.hicks@nist.gov" TargetMode="External"/><Relationship Id="rId12" Type="http://schemas.openxmlformats.org/officeDocument/2006/relationships/hyperlink" Target="mailto:elizabeth.koncki@nist.gov" TargetMode="External"/><Relationship Id="rId17" Type="http://schemas.openxmlformats.org/officeDocument/2006/relationships/hyperlink" Target="mailto:elizabeth.koncki@nist.gov" TargetMode="External"/><Relationship Id="rId25" Type="http://schemas.openxmlformats.org/officeDocument/2006/relationships/hyperlink" Target="mailto:robert.rogers@ncagr.gov" TargetMode="External"/><Relationship Id="rId2" Type="http://schemas.openxmlformats.org/officeDocument/2006/relationships/hyperlink" Target="mailto:micheal.hicks@nist.gov" TargetMode="External"/><Relationship Id="rId16" Type="http://schemas.openxmlformats.org/officeDocument/2006/relationships/hyperlink" Target="mailto:Jonathan.Fox@agriculture.ny.gov" TargetMode="External"/><Relationship Id="rId20" Type="http://schemas.openxmlformats.org/officeDocument/2006/relationships/hyperlink" Target="mailto:Michael.Tang@hawaii.gov" TargetMode="External"/><Relationship Id="rId29" Type="http://schemas.openxmlformats.org/officeDocument/2006/relationships/hyperlink" Target="mailto:andrews_jeffrey_ja@lilly.com" TargetMode="External"/><Relationship Id="rId1" Type="http://schemas.openxmlformats.org/officeDocument/2006/relationships/hyperlink" Target="mailto:micheal.hicks@nist.gov" TargetMode="External"/><Relationship Id="rId6" Type="http://schemas.openxmlformats.org/officeDocument/2006/relationships/hyperlink" Target="mailto:micheal.hicks@nist.gov" TargetMode="External"/><Relationship Id="rId11" Type="http://schemas.openxmlformats.org/officeDocument/2006/relationships/hyperlink" Target="mailto:Megan.Money@FDACS.gov" TargetMode="External"/><Relationship Id="rId24" Type="http://schemas.openxmlformats.org/officeDocument/2006/relationships/hyperlink" Target="mailto:robert.rogers@ncagr.gov" TargetMode="External"/><Relationship Id="rId5" Type="http://schemas.openxmlformats.org/officeDocument/2006/relationships/hyperlink" Target="mailto:micheal.hicks@nist.gov" TargetMode="External"/><Relationship Id="rId15" Type="http://schemas.openxmlformats.org/officeDocument/2006/relationships/hyperlink" Target="mailto:anna.pierce@state.mn.us" TargetMode="External"/><Relationship Id="rId23" Type="http://schemas.openxmlformats.org/officeDocument/2006/relationships/hyperlink" Target="mailto:anna.pierce@state.mn.us" TargetMode="External"/><Relationship Id="rId28" Type="http://schemas.openxmlformats.org/officeDocument/2006/relationships/hyperlink" Target="mailto:jgownley@pa.gov" TargetMode="External"/><Relationship Id="rId10" Type="http://schemas.openxmlformats.org/officeDocument/2006/relationships/hyperlink" Target="mailto:elizabeth.koncki@nist.gov" TargetMode="External"/><Relationship Id="rId19" Type="http://schemas.openxmlformats.org/officeDocument/2006/relationships/hyperlink" Target="mailto:civey@nmda.nmsu.edu" TargetMode="External"/><Relationship Id="rId4" Type="http://schemas.openxmlformats.org/officeDocument/2006/relationships/hyperlink" Target="mailto:micheal.hicks@nist.gov" TargetMode="External"/><Relationship Id="rId9" Type="http://schemas.openxmlformats.org/officeDocument/2006/relationships/hyperlink" Target="mailto:Megan.Money@FDACS.gov" TargetMode="External"/><Relationship Id="rId14" Type="http://schemas.openxmlformats.org/officeDocument/2006/relationships/hyperlink" Target="mailto:micheal.hicks@nist.gov" TargetMode="External"/><Relationship Id="rId22" Type="http://schemas.openxmlformats.org/officeDocument/2006/relationships/hyperlink" Target="mailto:waz@lanl.gov" TargetMode="External"/><Relationship Id="rId27" Type="http://schemas.openxmlformats.org/officeDocument/2006/relationships/hyperlink" Target="mailto:william.wilkinson@y12nsc.doe.gov" TargetMode="External"/><Relationship Id="rId30" Type="http://schemas.openxmlformats.org/officeDocument/2006/relationships/table" Target="../tables/table3.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6.v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3.bin"/><Relationship Id="rId1" Type="http://schemas.openxmlformats.org/officeDocument/2006/relationships/hyperlink" Target="https://docs.google.com/forms/d/e/1FAIpQLSeqO908_b1G689uCDeUFEnsSqf132wDT2Iz5nfuuQxcF-ro2Q/viewform?usp=header"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https://www.nist.gov/pml/owm/laboratory-metrology/proficiency-testi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hyperlink" Target="https://docs.google.com/forms/d/e/1FAIpQLSeqO908_b1G689uCDeUFEnsSqf132wDT2Iz5nfuuQxcF-ro2Q/viewform?usp=header" TargetMode="Externa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27"/>
  <sheetViews>
    <sheetView view="pageBreakPreview" zoomScale="110" zoomScaleNormal="100" zoomScaleSheetLayoutView="110" workbookViewId="0">
      <pane ySplit="2" topLeftCell="A13" activePane="bottomLeft" state="frozen"/>
      <selection pane="bottomLeft" activeCell="C14" sqref="C14"/>
    </sheetView>
  </sheetViews>
  <sheetFormatPr defaultColWidth="93.140625" defaultRowHeight="15" x14ac:dyDescent="0.25"/>
  <cols>
    <col min="1" max="1" width="16.5703125" style="10" bestFit="1" customWidth="1"/>
    <col min="2" max="2" width="10.5703125" style="10" customWidth="1"/>
  </cols>
  <sheetData>
    <row r="1" spans="1:9" ht="15.75" x14ac:dyDescent="0.25">
      <c r="A1" s="523" t="s">
        <v>0</v>
      </c>
      <c r="B1" s="523"/>
      <c r="C1" s="523"/>
    </row>
    <row r="2" spans="1:9" s="71" customFormat="1" x14ac:dyDescent="0.25">
      <c r="A2" s="162" t="s">
        <v>1</v>
      </c>
      <c r="B2" s="163" t="s">
        <v>2</v>
      </c>
      <c r="C2" s="164" t="s">
        <v>3</v>
      </c>
    </row>
    <row r="3" spans="1:9" x14ac:dyDescent="0.25">
      <c r="A3" s="157">
        <v>20180428</v>
      </c>
      <c r="B3" s="68" t="s">
        <v>4</v>
      </c>
      <c r="C3" s="160" t="s">
        <v>5</v>
      </c>
      <c r="D3" s="70"/>
      <c r="E3" s="70"/>
      <c r="F3" s="70"/>
      <c r="G3" s="70"/>
      <c r="H3" s="70"/>
      <c r="I3" s="70"/>
    </row>
    <row r="4" spans="1:9" x14ac:dyDescent="0.25">
      <c r="A4" s="157">
        <v>20181022</v>
      </c>
      <c r="B4" s="68" t="s">
        <v>6</v>
      </c>
      <c r="C4" s="160" t="s">
        <v>7</v>
      </c>
      <c r="D4" s="70"/>
      <c r="E4" s="80"/>
      <c r="F4" s="70"/>
      <c r="G4" s="70"/>
      <c r="H4" s="70"/>
      <c r="I4" s="70"/>
    </row>
    <row r="5" spans="1:9" x14ac:dyDescent="0.25">
      <c r="A5" s="157">
        <v>20190116</v>
      </c>
      <c r="B5" s="68" t="s">
        <v>8</v>
      </c>
      <c r="C5" s="160" t="s">
        <v>9</v>
      </c>
      <c r="D5" s="70"/>
      <c r="E5" s="70"/>
      <c r="F5" s="70"/>
      <c r="G5" s="70"/>
      <c r="H5" s="70"/>
      <c r="I5" s="70"/>
    </row>
    <row r="6" spans="1:9" ht="30" x14ac:dyDescent="0.25">
      <c r="A6" s="158">
        <v>20190411</v>
      </c>
      <c r="B6" s="69" t="s">
        <v>10</v>
      </c>
      <c r="C6" s="161" t="s">
        <v>11</v>
      </c>
      <c r="D6" s="70"/>
      <c r="E6" s="70"/>
      <c r="F6" s="70"/>
      <c r="G6" s="70"/>
      <c r="H6" s="70"/>
      <c r="I6" s="70"/>
    </row>
    <row r="7" spans="1:9" ht="60" x14ac:dyDescent="0.25">
      <c r="A7" s="158">
        <v>20190425</v>
      </c>
      <c r="B7" s="69" t="s">
        <v>10</v>
      </c>
      <c r="C7" s="161" t="s">
        <v>12</v>
      </c>
      <c r="D7" s="70"/>
      <c r="E7" s="70"/>
      <c r="F7" s="70"/>
      <c r="G7" s="70"/>
      <c r="H7" s="70"/>
      <c r="I7" s="70"/>
    </row>
    <row r="8" spans="1:9" ht="60" x14ac:dyDescent="0.25">
      <c r="A8" s="158">
        <v>20190429</v>
      </c>
      <c r="B8" s="69" t="s">
        <v>10</v>
      </c>
      <c r="C8" s="161" t="s">
        <v>13</v>
      </c>
      <c r="D8" s="70"/>
      <c r="E8" s="70"/>
      <c r="F8" s="70"/>
      <c r="G8" s="70"/>
      <c r="H8" s="70"/>
      <c r="I8" s="70"/>
    </row>
    <row r="9" spans="1:9" ht="30" x14ac:dyDescent="0.25">
      <c r="A9" s="158">
        <v>20190430</v>
      </c>
      <c r="B9" s="69" t="s">
        <v>10</v>
      </c>
      <c r="C9" s="161" t="s">
        <v>14</v>
      </c>
      <c r="D9" s="70"/>
      <c r="E9" s="70"/>
      <c r="F9" s="70"/>
      <c r="G9" s="70"/>
      <c r="H9" s="70"/>
      <c r="I9" s="70"/>
    </row>
    <row r="10" spans="1:9" ht="30" x14ac:dyDescent="0.25">
      <c r="A10" s="158">
        <v>20190820</v>
      </c>
      <c r="B10" s="69" t="s">
        <v>10</v>
      </c>
      <c r="C10" s="161" t="s">
        <v>649</v>
      </c>
      <c r="D10" s="70"/>
      <c r="E10" s="70"/>
      <c r="F10" s="70"/>
      <c r="G10" s="70"/>
      <c r="H10" s="70"/>
      <c r="I10" s="70"/>
    </row>
    <row r="11" spans="1:9" ht="45" x14ac:dyDescent="0.25">
      <c r="A11" s="159">
        <v>44947</v>
      </c>
      <c r="B11" s="69" t="s">
        <v>8</v>
      </c>
      <c r="C11" s="161" t="s">
        <v>15</v>
      </c>
      <c r="D11" s="70"/>
      <c r="E11" s="70"/>
      <c r="F11" s="70"/>
      <c r="G11" s="70"/>
      <c r="H11" s="70"/>
      <c r="I11" s="70"/>
    </row>
    <row r="12" spans="1:9" ht="30" x14ac:dyDescent="0.25">
      <c r="A12" s="159">
        <v>44970</v>
      </c>
      <c r="B12" s="69" t="s">
        <v>8</v>
      </c>
      <c r="C12" s="161" t="s">
        <v>16</v>
      </c>
      <c r="D12" s="70"/>
      <c r="E12" s="70"/>
      <c r="F12" s="70"/>
      <c r="G12" s="70"/>
      <c r="H12" s="70"/>
      <c r="I12" s="70"/>
    </row>
    <row r="13" spans="1:9" ht="345" x14ac:dyDescent="0.25">
      <c r="A13" s="255">
        <v>20250310</v>
      </c>
      <c r="B13" s="69" t="s">
        <v>648</v>
      </c>
      <c r="C13" s="161" t="s">
        <v>1410</v>
      </c>
      <c r="D13" s="70"/>
      <c r="E13" s="70"/>
      <c r="F13" s="70"/>
      <c r="G13" s="70"/>
      <c r="H13" s="70"/>
      <c r="I13" s="70"/>
    </row>
    <row r="14" spans="1:9" ht="45" x14ac:dyDescent="0.25">
      <c r="A14" s="255">
        <v>20260708</v>
      </c>
      <c r="B14" s="69" t="s">
        <v>1591</v>
      </c>
      <c r="C14" s="161" t="s">
        <v>1592</v>
      </c>
      <c r="D14" s="70"/>
      <c r="E14" s="70"/>
      <c r="F14" s="70"/>
      <c r="G14" s="70"/>
      <c r="H14" s="70"/>
      <c r="I14" s="70"/>
    </row>
    <row r="15" spans="1:9" x14ac:dyDescent="0.25">
      <c r="A15" s="255"/>
      <c r="B15" s="69"/>
      <c r="C15" s="161"/>
      <c r="D15" s="70"/>
      <c r="E15" s="70"/>
      <c r="F15" s="70"/>
      <c r="G15" s="70"/>
      <c r="H15" s="70"/>
      <c r="I15" s="70"/>
    </row>
    <row r="16" spans="1:9" x14ac:dyDescent="0.25">
      <c r="A16" s="255"/>
      <c r="B16" s="69"/>
      <c r="C16" s="161"/>
    </row>
    <row r="17" spans="1:3" x14ac:dyDescent="0.25">
      <c r="A17" s="255"/>
      <c r="B17" s="69"/>
      <c r="C17" s="161"/>
    </row>
    <row r="18" spans="1:3" x14ac:dyDescent="0.25">
      <c r="A18" s="256"/>
      <c r="B18" s="184"/>
      <c r="C18" s="185"/>
    </row>
    <row r="19" spans="1:3" x14ac:dyDescent="0.25">
      <c r="A19" s="256"/>
      <c r="B19" s="184"/>
      <c r="C19" s="185"/>
    </row>
    <row r="20" spans="1:3" x14ac:dyDescent="0.25">
      <c r="A20" s="256"/>
      <c r="B20" s="184"/>
      <c r="C20" s="185"/>
    </row>
    <row r="21" spans="1:3" x14ac:dyDescent="0.25">
      <c r="A21" s="256"/>
      <c r="B21" s="184"/>
      <c r="C21" s="185"/>
    </row>
    <row r="22" spans="1:3" x14ac:dyDescent="0.25">
      <c r="A22" s="256"/>
      <c r="B22" s="184"/>
      <c r="C22" s="185"/>
    </row>
    <row r="23" spans="1:3" x14ac:dyDescent="0.25">
      <c r="A23" s="256"/>
      <c r="B23" s="184"/>
      <c r="C23" s="185"/>
    </row>
    <row r="24" spans="1:3" x14ac:dyDescent="0.25">
      <c r="A24" s="256"/>
      <c r="B24" s="184"/>
      <c r="C24" s="185"/>
    </row>
    <row r="25" spans="1:3" x14ac:dyDescent="0.25">
      <c r="A25" s="256"/>
      <c r="B25" s="184"/>
      <c r="C25" s="185"/>
    </row>
    <row r="26" spans="1:3" x14ac:dyDescent="0.25">
      <c r="A26" s="256"/>
      <c r="B26" s="184"/>
      <c r="C26" s="185"/>
    </row>
    <row r="27" spans="1:3" x14ac:dyDescent="0.25">
      <c r="A27" s="256"/>
      <c r="B27" s="184"/>
      <c r="C27" s="185"/>
    </row>
  </sheetData>
  <mergeCells count="1">
    <mergeCell ref="A1:C1"/>
  </mergeCells>
  <pageMargins left="0.7" right="0.7" top="0.75" bottom="0.75" header="0.3" footer="0.3"/>
  <pageSetup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34E26-FABB-4767-BB10-72D65CA8B5C0}">
  <sheetPr>
    <tabColor rgb="FF92D050"/>
    <pageSetUpPr fitToPage="1"/>
  </sheetPr>
  <dimension ref="A1:D30"/>
  <sheetViews>
    <sheetView topLeftCell="A10" zoomScaleNormal="100" zoomScalePageLayoutView="60" workbookViewId="0">
      <selection activeCell="B10" sqref="B10:D10"/>
    </sheetView>
  </sheetViews>
  <sheetFormatPr defaultRowHeight="15" x14ac:dyDescent="0.25"/>
  <cols>
    <col min="1" max="1" width="28" customWidth="1"/>
    <col min="2" max="2" width="38.140625" customWidth="1"/>
    <col min="3" max="3" width="8.85546875" customWidth="1"/>
    <col min="4" max="4" width="23.42578125" customWidth="1"/>
  </cols>
  <sheetData>
    <row r="1" spans="1:4" ht="15.75" x14ac:dyDescent="0.25">
      <c r="A1" s="489"/>
      <c r="B1" s="134"/>
      <c r="C1" s="134"/>
      <c r="D1" s="134"/>
    </row>
    <row r="2" spans="1:4" ht="15.75" x14ac:dyDescent="0.25">
      <c r="A2" s="489"/>
      <c r="B2" s="134"/>
      <c r="C2" s="134"/>
      <c r="D2" s="134"/>
    </row>
    <row r="3" spans="1:4" ht="15.75" x14ac:dyDescent="0.25">
      <c r="A3" s="489"/>
      <c r="B3" s="134"/>
      <c r="C3" s="134"/>
      <c r="D3" s="134"/>
    </row>
    <row r="4" spans="1:4" ht="16.5" thickBot="1" x14ac:dyDescent="0.3">
      <c r="A4" s="490"/>
      <c r="B4" s="134"/>
      <c r="C4" s="134"/>
      <c r="D4" s="134"/>
    </row>
    <row r="5" spans="1:4" ht="20.45" customHeight="1" thickBot="1" x14ac:dyDescent="0.3">
      <c r="A5" s="488" t="s">
        <v>547</v>
      </c>
      <c r="B5" s="618" t="str">
        <f>IF('P3; Artifact &amp; Shipping'!B4="","",'P3; Artifact &amp; Shipping'!B4)</f>
        <v>----</v>
      </c>
      <c r="C5" s="619"/>
      <c r="D5" s="620"/>
    </row>
    <row r="6" spans="1:4" ht="19.5" customHeight="1" thickBot="1" x14ac:dyDescent="0.3">
      <c r="A6" s="488" t="s">
        <v>548</v>
      </c>
      <c r="B6" s="630"/>
      <c r="C6" s="630"/>
      <c r="D6" s="630"/>
    </row>
    <row r="7" spans="1:4" ht="19.5" customHeight="1" thickBot="1" x14ac:dyDescent="0.3">
      <c r="A7" s="487" t="s">
        <v>549</v>
      </c>
      <c r="B7" s="618" t="e">
        <f>IF('P3; Artifact &amp; Shipping'!B12="","",'P3; Artifact &amp; Shipping'!B12)</f>
        <v>#N/A</v>
      </c>
      <c r="C7" s="619"/>
      <c r="D7" s="620"/>
    </row>
    <row r="8" spans="1:4" ht="19.5" customHeight="1" thickBot="1" x14ac:dyDescent="0.3">
      <c r="A8" s="487" t="s">
        <v>550</v>
      </c>
      <c r="B8" s="618" t="str">
        <f>IF('P3; Artifact &amp; Shipping'!B10="","",'P3; Artifact &amp; Shipping'!B10)</f>
        <v/>
      </c>
      <c r="C8" s="619"/>
      <c r="D8" s="620"/>
    </row>
    <row r="9" spans="1:4" ht="19.5" customHeight="1" thickBot="1" x14ac:dyDescent="0.3">
      <c r="A9" s="487" t="s">
        <v>551</v>
      </c>
      <c r="B9" s="618" t="e">
        <f>IF('P3; Artifact &amp; Shipping'!B13="","",'P3; Artifact &amp; Shipping'!B13)</f>
        <v>#N/A</v>
      </c>
      <c r="C9" s="619"/>
      <c r="D9" s="620"/>
    </row>
    <row r="10" spans="1:4" ht="19.5" customHeight="1" thickBot="1" x14ac:dyDescent="0.3">
      <c r="A10" s="487" t="s">
        <v>553</v>
      </c>
      <c r="B10" s="618" t="e">
        <f>IF('P3; Artifact &amp; Shipping'!B14="","",'P3; Artifact &amp; Shipping'!B14)</f>
        <v>#N/A</v>
      </c>
      <c r="C10" s="619"/>
      <c r="D10" s="620"/>
    </row>
    <row r="11" spans="1:4" ht="19.5" customHeight="1" thickBot="1" x14ac:dyDescent="0.3">
      <c r="A11" s="487" t="s">
        <v>552</v>
      </c>
      <c r="B11" s="618" t="e">
        <f>IF('P3; Artifact &amp; Shipping'!B15="","",'P3; Artifact &amp; Shipping'!B15)</f>
        <v>#N/A</v>
      </c>
      <c r="C11" s="619"/>
      <c r="D11" s="620"/>
    </row>
    <row r="12" spans="1:4" ht="15.95" customHeight="1" thickBot="1" x14ac:dyDescent="0.3">
      <c r="A12" s="627" t="s">
        <v>387</v>
      </c>
      <c r="B12" s="628"/>
      <c r="C12" s="627" t="s">
        <v>482</v>
      </c>
      <c r="D12" s="628"/>
    </row>
    <row r="13" spans="1:4" ht="15.75" thickBot="1" x14ac:dyDescent="0.3">
      <c r="A13" s="627"/>
      <c r="B13" s="628"/>
      <c r="C13" s="627"/>
      <c r="D13" s="628"/>
    </row>
    <row r="14" spans="1:4" ht="32.25" thickBot="1" x14ac:dyDescent="0.3">
      <c r="A14" s="483" t="s">
        <v>483</v>
      </c>
      <c r="B14" s="219"/>
      <c r="C14" s="483" t="s">
        <v>484</v>
      </c>
      <c r="D14" s="219"/>
    </row>
    <row r="15" spans="1:4" ht="16.5" thickBot="1" x14ac:dyDescent="0.3">
      <c r="A15" s="220"/>
      <c r="B15" s="221"/>
      <c r="C15" s="222"/>
      <c r="D15" s="223"/>
    </row>
    <row r="16" spans="1:4" ht="30.95" customHeight="1" thickBot="1" x14ac:dyDescent="0.3">
      <c r="A16" s="621" t="s">
        <v>554</v>
      </c>
      <c r="B16" s="622"/>
      <c r="C16" s="622"/>
      <c r="D16" s="623"/>
    </row>
    <row r="17" spans="1:4" ht="80.45" customHeight="1" thickBot="1" x14ac:dyDescent="0.3">
      <c r="A17" s="624"/>
      <c r="B17" s="625"/>
      <c r="C17" s="625"/>
      <c r="D17" s="626"/>
    </row>
    <row r="18" spans="1:4" ht="18.600000000000001" customHeight="1" thickBot="1" x14ac:dyDescent="0.3">
      <c r="A18" s="484"/>
      <c r="B18" s="485"/>
      <c r="C18" s="485"/>
      <c r="D18" s="486"/>
    </row>
    <row r="19" spans="1:4" ht="17.100000000000001" customHeight="1" thickBot="1" x14ac:dyDescent="0.3">
      <c r="A19" s="621" t="s">
        <v>555</v>
      </c>
      <c r="B19" s="622"/>
      <c r="C19" s="622"/>
      <c r="D19" s="623"/>
    </row>
    <row r="20" spans="1:4" ht="75" customHeight="1" thickBot="1" x14ac:dyDescent="0.3">
      <c r="A20" s="624"/>
      <c r="B20" s="625"/>
      <c r="C20" s="625"/>
      <c r="D20" s="626"/>
    </row>
    <row r="21" spans="1:4" ht="15.75" thickBot="1" x14ac:dyDescent="0.3">
      <c r="A21" s="631"/>
      <c r="B21" s="632"/>
      <c r="C21" s="632"/>
      <c r="D21" s="633"/>
    </row>
    <row r="22" spans="1:4" ht="15" customHeight="1" thickBot="1" x14ac:dyDescent="0.3">
      <c r="A22" s="634" t="s">
        <v>485</v>
      </c>
      <c r="B22" s="635"/>
      <c r="C22" s="635"/>
      <c r="D22" s="636"/>
    </row>
    <row r="23" spans="1:4" ht="93.6" customHeight="1" thickBot="1" x14ac:dyDescent="0.3">
      <c r="A23" s="637"/>
      <c r="B23" s="638"/>
      <c r="C23" s="638"/>
      <c r="D23" s="639"/>
    </row>
    <row r="24" spans="1:4" ht="15" customHeight="1" thickBot="1" x14ac:dyDescent="0.3">
      <c r="A24" s="640"/>
      <c r="B24" s="641"/>
      <c r="C24" s="641"/>
      <c r="D24" s="642"/>
    </row>
    <row r="25" spans="1:4" ht="32.450000000000003" customHeight="1" thickBot="1" x14ac:dyDescent="0.3">
      <c r="A25" s="483" t="s">
        <v>486</v>
      </c>
      <c r="B25" s="637"/>
      <c r="C25" s="638"/>
      <c r="D25" s="639"/>
    </row>
    <row r="26" spans="1:4" ht="15.75" thickBot="1" x14ac:dyDescent="0.3">
      <c r="A26" s="627" t="s">
        <v>487</v>
      </c>
      <c r="B26" s="628"/>
      <c r="C26" s="628"/>
      <c r="D26" s="628"/>
    </row>
    <row r="27" spans="1:4" ht="15.75" thickBot="1" x14ac:dyDescent="0.3">
      <c r="A27" s="627"/>
      <c r="B27" s="628"/>
      <c r="C27" s="628"/>
      <c r="D27" s="628"/>
    </row>
    <row r="28" spans="1:4" ht="15.75" x14ac:dyDescent="0.25">
      <c r="A28" s="153"/>
    </row>
    <row r="29" spans="1:4" ht="45.95" customHeight="1" x14ac:dyDescent="0.25">
      <c r="A29" s="629" t="s">
        <v>546</v>
      </c>
      <c r="B29" s="629"/>
      <c r="C29" s="629"/>
      <c r="D29" s="629"/>
    </row>
    <row r="30" spans="1:4" ht="27.6" customHeight="1" x14ac:dyDescent="0.25">
      <c r="A30" s="218"/>
      <c r="B30" s="218"/>
      <c r="C30" s="218"/>
      <c r="D30" s="218"/>
    </row>
  </sheetData>
  <sheetProtection algorithmName="SHA-512" hashValue="V3Q2h/JF27zUIsCkHW5nx9+UnFCHM5w+OAdOlkmkChcFi3VDZmvurSkET1vpGv41crlRf2K1sArJPSCXYd8ymg==" saltValue="HkuO6/ibw/L2yBb6Yg1H1g==" spinCount="100000" sheet="1" objects="1" scenarios="1"/>
  <mergeCells count="23">
    <mergeCell ref="A29:D29"/>
    <mergeCell ref="B6:D6"/>
    <mergeCell ref="B7:D7"/>
    <mergeCell ref="B8:D8"/>
    <mergeCell ref="B9:D9"/>
    <mergeCell ref="B11:D11"/>
    <mergeCell ref="A20:D20"/>
    <mergeCell ref="A21:D21"/>
    <mergeCell ref="A22:D22"/>
    <mergeCell ref="A23:D23"/>
    <mergeCell ref="A24:D24"/>
    <mergeCell ref="B25:D25"/>
    <mergeCell ref="A26:A27"/>
    <mergeCell ref="B26:D27"/>
    <mergeCell ref="A12:A13"/>
    <mergeCell ref="B12:B13"/>
    <mergeCell ref="B5:D5"/>
    <mergeCell ref="B10:D10"/>
    <mergeCell ref="A16:D16"/>
    <mergeCell ref="A19:D19"/>
    <mergeCell ref="A17:D17"/>
    <mergeCell ref="C12:C13"/>
    <mergeCell ref="D12:D13"/>
  </mergeCells>
  <pageMargins left="0.7" right="0.7" top="0.75" bottom="0.75" header="0.3" footer="0.3"/>
  <pageSetup scale="91" orientation="portrait" horizontalDpi="300" verticalDpi="300" r:id="rId1"/>
  <headerFooter>
    <oddHeader>&amp;C&amp;"-,Bold"&amp;14National Institute of Standards and Technology
Office of Weights and Measures&amp;12
&amp;"ADLaM Display,Bold"&amp;16&amp;K0070C0PT Items Receipt and Assessment Form (F08)</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E6627-9F31-47B2-8E28-19CA9704F543}">
  <sheetPr>
    <tabColor rgb="FFFFFF61"/>
  </sheetPr>
  <dimension ref="A1:BJ173"/>
  <sheetViews>
    <sheetView topLeftCell="AK7" zoomScale="90" zoomScaleNormal="90" workbookViewId="0">
      <selection activeCell="AU22" sqref="AU22"/>
    </sheetView>
  </sheetViews>
  <sheetFormatPr defaultRowHeight="15" x14ac:dyDescent="0.25"/>
  <cols>
    <col min="1" max="1" width="9.140625" customWidth="1"/>
    <col min="2" max="2" width="37.140625" bestFit="1" customWidth="1"/>
    <col min="3" max="3" width="15" bestFit="1" customWidth="1"/>
    <col min="4" max="4" width="8.42578125" bestFit="1" customWidth="1"/>
    <col min="5" max="5" width="15" customWidth="1"/>
    <col min="6" max="7" width="15" style="6" customWidth="1"/>
    <col min="8" max="8" width="15" customWidth="1"/>
    <col min="9" max="9" width="12.42578125" style="142" customWidth="1"/>
    <col min="10" max="10" width="15" style="142" customWidth="1"/>
    <col min="11" max="11" width="17.42578125" style="142" customWidth="1"/>
    <col min="12" max="12" width="10.85546875" style="1" customWidth="1"/>
    <col min="13" max="14" width="10.85546875" customWidth="1"/>
    <col min="16" max="16" width="11.140625" customWidth="1"/>
    <col min="17" max="17" width="41.5703125" customWidth="1"/>
    <col min="20" max="20" width="171.140625" customWidth="1"/>
    <col min="22" max="22" width="18.42578125" customWidth="1"/>
    <col min="23" max="23" width="132.140625" customWidth="1"/>
    <col min="24" max="24" width="9.5703125" customWidth="1"/>
    <col min="25" max="25" width="34.42578125" customWidth="1"/>
    <col min="26" max="26" width="4" customWidth="1"/>
    <col min="27" max="27" width="26" customWidth="1"/>
    <col min="28" max="28" width="24" customWidth="1"/>
    <col min="29" max="29" width="8.140625" customWidth="1"/>
    <col min="30" max="30" width="35.85546875" bestFit="1" customWidth="1"/>
    <col min="31" max="31" width="31.42578125" bestFit="1" customWidth="1"/>
    <col min="32" max="32" width="15.85546875" customWidth="1"/>
    <col min="33" max="33" width="34.5703125" customWidth="1"/>
    <col min="34" max="34" width="34.42578125" customWidth="1"/>
    <col min="35" max="35" width="5" customWidth="1"/>
    <col min="36" max="36" width="168.5703125" customWidth="1"/>
    <col min="37" max="37" width="6.5703125" customWidth="1"/>
    <col min="38" max="38" width="5.140625" style="1" bestFit="1" customWidth="1"/>
    <col min="39" max="39" width="30.5703125" customWidth="1"/>
    <col min="40" max="40" width="40" customWidth="1"/>
    <col min="41" max="41" width="15.85546875" customWidth="1"/>
    <col min="42" max="42" width="17" customWidth="1"/>
    <col min="43" max="43" width="17" style="1" customWidth="1"/>
    <col min="44" max="44" width="9.140625" customWidth="1"/>
    <col min="45" max="45" width="19.42578125" customWidth="1"/>
    <col min="46" max="46" width="17" customWidth="1"/>
    <col min="47" max="47" width="9.85546875" style="6" bestFit="1" customWidth="1"/>
    <col min="48" max="48" width="21.85546875" customWidth="1"/>
    <col min="49" max="49" width="13" customWidth="1"/>
    <col min="50" max="51" width="13" style="1" customWidth="1"/>
    <col min="52" max="52" width="25.85546875" customWidth="1"/>
    <col min="53" max="53" width="11.5703125" customWidth="1"/>
    <col min="54" max="54" width="14.5703125" customWidth="1"/>
    <col min="55" max="59" width="11.5703125" customWidth="1"/>
    <col min="60" max="60" width="9.140625" style="1"/>
    <col min="61" max="61" width="29.85546875" customWidth="1"/>
    <col min="63" max="63" width="19.140625" customWidth="1"/>
    <col min="64" max="65" width="20.140625" customWidth="1"/>
  </cols>
  <sheetData>
    <row r="1" spans="2:62" ht="15.75" thickBot="1" x14ac:dyDescent="0.3">
      <c r="B1" s="262"/>
      <c r="C1" s="261" t="s">
        <v>660</v>
      </c>
      <c r="D1" s="262"/>
      <c r="E1" s="262"/>
      <c r="F1" s="438"/>
      <c r="G1" s="438"/>
      <c r="H1" s="262"/>
      <c r="I1" s="314"/>
      <c r="J1" s="314"/>
      <c r="K1" s="314"/>
      <c r="L1" s="303"/>
      <c r="M1" s="262"/>
      <c r="N1" s="262"/>
      <c r="O1" s="262"/>
      <c r="P1" s="264" t="s">
        <v>662</v>
      </c>
      <c r="Q1" s="262"/>
      <c r="R1" s="262"/>
      <c r="S1" s="262"/>
      <c r="T1" s="265" t="s">
        <v>663</v>
      </c>
      <c r="U1" s="262"/>
      <c r="V1" s="262"/>
      <c r="W1" s="266" t="s">
        <v>664</v>
      </c>
      <c r="X1" s="369"/>
      <c r="Y1" s="369"/>
      <c r="Z1" s="369"/>
      <c r="AA1" s="369" t="s">
        <v>1005</v>
      </c>
      <c r="AB1" s="369"/>
      <c r="AC1" s="369"/>
      <c r="AD1" s="369" t="s">
        <v>103</v>
      </c>
      <c r="AE1" s="369"/>
      <c r="AF1" s="369"/>
      <c r="AG1" s="369"/>
      <c r="AH1" s="369"/>
      <c r="AJ1" s="263" t="s">
        <v>661</v>
      </c>
      <c r="AL1" s="342" t="s">
        <v>999</v>
      </c>
      <c r="AZ1" s="204"/>
    </row>
    <row r="2" spans="2:62" ht="39.75" thickTop="1" thickBot="1" x14ac:dyDescent="0.3">
      <c r="B2" s="428" t="s">
        <v>1017</v>
      </c>
      <c r="C2" s="427" t="s">
        <v>1016</v>
      </c>
      <c r="D2" s="429" t="s">
        <v>129</v>
      </c>
      <c r="E2" s="429" t="s">
        <v>665</v>
      </c>
      <c r="F2" s="439" t="s">
        <v>1013</v>
      </c>
      <c r="G2" s="439" t="s">
        <v>106</v>
      </c>
      <c r="H2" s="429" t="s">
        <v>107</v>
      </c>
      <c r="I2" s="315" t="s">
        <v>1219</v>
      </c>
      <c r="J2" s="315" t="s">
        <v>426</v>
      </c>
      <c r="K2" s="315" t="s">
        <v>427</v>
      </c>
      <c r="L2" s="299" t="s">
        <v>428</v>
      </c>
      <c r="M2" s="299"/>
      <c r="N2" s="430"/>
      <c r="O2" s="269"/>
      <c r="P2" s="327" t="s">
        <v>666</v>
      </c>
      <c r="Q2" s="328" t="s">
        <v>666</v>
      </c>
      <c r="R2" s="269"/>
      <c r="S2" s="331"/>
      <c r="T2" s="329" t="s">
        <v>667</v>
      </c>
      <c r="U2" s="262"/>
      <c r="V2" s="331"/>
      <c r="W2" s="330" t="s">
        <v>668</v>
      </c>
      <c r="X2" s="371"/>
      <c r="Y2" s="409" t="s">
        <v>129</v>
      </c>
      <c r="Z2" s="371"/>
      <c r="AA2" s="373" t="s">
        <v>131</v>
      </c>
      <c r="AB2" s="378" t="s">
        <v>132</v>
      </c>
      <c r="AC2" s="379"/>
      <c r="AD2" s="418" t="s">
        <v>1007</v>
      </c>
      <c r="AE2" s="420" t="s">
        <v>106</v>
      </c>
      <c r="AF2" s="421" t="s">
        <v>107</v>
      </c>
      <c r="AG2" s="502" t="s">
        <v>105</v>
      </c>
      <c r="AH2" s="419" t="s">
        <v>129</v>
      </c>
      <c r="AJ2" s="268" t="s">
        <v>661</v>
      </c>
      <c r="AL2" s="354" t="s">
        <v>440</v>
      </c>
      <c r="AM2" s="355" t="s">
        <v>992</v>
      </c>
      <c r="AN2" s="356" t="s">
        <v>865</v>
      </c>
      <c r="AO2" s="356" t="s">
        <v>864</v>
      </c>
      <c r="AP2" s="356" t="s">
        <v>967</v>
      </c>
      <c r="AQ2" s="357" t="s">
        <v>968</v>
      </c>
      <c r="AR2" s="355" t="s">
        <v>969</v>
      </c>
      <c r="AS2" s="355" t="s">
        <v>971</v>
      </c>
      <c r="AT2" s="356" t="s">
        <v>970</v>
      </c>
      <c r="AU2" s="436" t="s">
        <v>869</v>
      </c>
      <c r="AV2" s="355" t="s">
        <v>402</v>
      </c>
      <c r="AW2" s="355" t="s">
        <v>868</v>
      </c>
      <c r="AX2" s="364" t="s">
        <v>421</v>
      </c>
      <c r="AY2" s="364" t="s">
        <v>1358</v>
      </c>
      <c r="AZ2" s="358" t="s">
        <v>867</v>
      </c>
      <c r="BA2" s="356" t="s">
        <v>386</v>
      </c>
      <c r="BB2" s="359" t="s">
        <v>993</v>
      </c>
      <c r="BC2" s="360" t="s">
        <v>106</v>
      </c>
      <c r="BD2" s="360" t="s">
        <v>107</v>
      </c>
      <c r="BE2" s="360" t="s">
        <v>994</v>
      </c>
      <c r="BF2" s="360" t="s">
        <v>426</v>
      </c>
      <c r="BG2" s="360" t="s">
        <v>427</v>
      </c>
      <c r="BH2" s="363" t="s">
        <v>393</v>
      </c>
      <c r="BI2" s="356" t="s">
        <v>866</v>
      </c>
      <c r="BJ2" s="353" t="s">
        <v>965</v>
      </c>
    </row>
    <row r="3" spans="2:62" ht="15.75" thickTop="1" x14ac:dyDescent="0.25">
      <c r="B3" s="285" t="s">
        <v>1221</v>
      </c>
      <c r="C3" s="320" t="s">
        <v>430</v>
      </c>
      <c r="D3" s="293" t="s">
        <v>158</v>
      </c>
      <c r="E3" s="293" t="s">
        <v>809</v>
      </c>
      <c r="F3" s="440" t="s">
        <v>1482</v>
      </c>
      <c r="G3" s="440" t="s">
        <v>1481</v>
      </c>
      <c r="H3" s="293" t="s">
        <v>1483</v>
      </c>
      <c r="I3" s="316" t="s">
        <v>1222</v>
      </c>
      <c r="J3" s="316" t="s">
        <v>1484</v>
      </c>
      <c r="K3" s="461" t="s">
        <v>430</v>
      </c>
      <c r="L3" s="293">
        <v>99515</v>
      </c>
      <c r="M3" s="293" t="s">
        <v>966</v>
      </c>
      <c r="N3" s="292" t="s">
        <v>966</v>
      </c>
      <c r="O3" s="275"/>
      <c r="P3" s="273" t="s">
        <v>242</v>
      </c>
      <c r="Q3" s="274" t="s">
        <v>243</v>
      </c>
      <c r="R3" s="275" t="s">
        <v>823</v>
      </c>
      <c r="S3" s="275" t="s">
        <v>824</v>
      </c>
      <c r="T3" s="276" t="s">
        <v>669</v>
      </c>
      <c r="U3" s="272"/>
      <c r="V3" s="271" t="s">
        <v>812</v>
      </c>
      <c r="W3" s="271" t="s">
        <v>670</v>
      </c>
      <c r="X3" s="300"/>
      <c r="Y3" s="367" t="s">
        <v>136</v>
      </c>
      <c r="Z3" s="300"/>
      <c r="AA3" s="374"/>
      <c r="AB3" s="376"/>
      <c r="AC3" s="380"/>
      <c r="AD3" s="396" t="s">
        <v>1022</v>
      </c>
      <c r="AE3" s="154" t="s">
        <v>1023</v>
      </c>
      <c r="AF3" s="392" t="s">
        <v>1024</v>
      </c>
      <c r="AG3" s="78" t="s">
        <v>1417</v>
      </c>
      <c r="AH3" s="387" t="s">
        <v>141</v>
      </c>
      <c r="AJ3" s="280" t="s">
        <v>489</v>
      </c>
      <c r="AL3" s="351">
        <v>1</v>
      </c>
      <c r="AM3" s="341" t="s">
        <v>872</v>
      </c>
      <c r="AN3" s="343" t="s">
        <v>1404</v>
      </c>
      <c r="AO3" s="341" t="s">
        <v>1355</v>
      </c>
      <c r="AP3" s="348" t="s">
        <v>977</v>
      </c>
      <c r="AQ3" s="348" t="s">
        <v>871</v>
      </c>
      <c r="AR3" s="348">
        <v>33</v>
      </c>
      <c r="AS3" s="348" t="s">
        <v>812</v>
      </c>
      <c r="AT3" s="348" t="s">
        <v>990</v>
      </c>
      <c r="AU3" s="349" t="s">
        <v>1385</v>
      </c>
      <c r="AV3" s="348" t="s">
        <v>567</v>
      </c>
      <c r="AW3" s="343" t="s">
        <v>873</v>
      </c>
      <c r="AX3" s="352">
        <v>60</v>
      </c>
      <c r="AY3" s="352" t="s">
        <v>567</v>
      </c>
      <c r="AZ3" s="352" t="s">
        <v>966</v>
      </c>
      <c r="BA3" s="341" t="s">
        <v>545</v>
      </c>
      <c r="BB3" s="341" t="s">
        <v>995</v>
      </c>
      <c r="BC3" s="361" t="s">
        <v>184</v>
      </c>
      <c r="BD3" s="362" t="s">
        <v>996</v>
      </c>
      <c r="BE3" s="337" t="s">
        <v>860</v>
      </c>
      <c r="BF3" s="341" t="s">
        <v>807</v>
      </c>
      <c r="BG3" s="341" t="s">
        <v>806</v>
      </c>
      <c r="BH3" s="1">
        <v>20899</v>
      </c>
      <c r="BI3" s="352" t="s">
        <v>1506</v>
      </c>
      <c r="BJ3" s="334"/>
    </row>
    <row r="4" spans="2:62" ht="15.75" thickBot="1" x14ac:dyDescent="0.3">
      <c r="B4" s="294" t="s">
        <v>1218</v>
      </c>
      <c r="C4" s="321" t="s">
        <v>429</v>
      </c>
      <c r="D4" s="293" t="s">
        <v>151</v>
      </c>
      <c r="E4" s="293" t="s">
        <v>809</v>
      </c>
      <c r="F4" s="440" t="s">
        <v>1429</v>
      </c>
      <c r="G4" s="440" t="s">
        <v>1428</v>
      </c>
      <c r="H4" s="293" t="s">
        <v>1507</v>
      </c>
      <c r="I4" s="316" t="s">
        <v>1220</v>
      </c>
      <c r="J4" s="316" t="s">
        <v>1053</v>
      </c>
      <c r="K4" s="462" t="s">
        <v>429</v>
      </c>
      <c r="L4" s="293">
        <v>36107</v>
      </c>
      <c r="M4" s="293" t="s">
        <v>966</v>
      </c>
      <c r="N4" s="292" t="s">
        <v>966</v>
      </c>
      <c r="O4" s="262"/>
      <c r="P4" s="273" t="s">
        <v>244</v>
      </c>
      <c r="Q4" s="274" t="s">
        <v>245</v>
      </c>
      <c r="R4" s="269"/>
      <c r="S4" s="275" t="s">
        <v>825</v>
      </c>
      <c r="T4" s="276" t="s">
        <v>671</v>
      </c>
      <c r="U4" s="262"/>
      <c r="V4" s="271" t="s">
        <v>813</v>
      </c>
      <c r="W4" s="277" t="s">
        <v>672</v>
      </c>
      <c r="X4" s="310"/>
      <c r="Y4" s="367" t="s">
        <v>141</v>
      </c>
      <c r="Z4" s="310"/>
      <c r="AA4" s="374" t="s">
        <v>137</v>
      </c>
      <c r="AB4" s="376" t="s">
        <v>1018</v>
      </c>
      <c r="AC4" s="380"/>
      <c r="AD4" s="396" t="s">
        <v>168</v>
      </c>
      <c r="AE4" s="154" t="s">
        <v>170</v>
      </c>
      <c r="AF4" s="392" t="s">
        <v>171</v>
      </c>
      <c r="AG4" s="78" t="s">
        <v>169</v>
      </c>
      <c r="AH4" s="387" t="s">
        <v>141</v>
      </c>
      <c r="AJ4" s="309"/>
      <c r="AL4" s="351">
        <v>2</v>
      </c>
      <c r="AM4" s="341" t="s">
        <v>874</v>
      </c>
      <c r="AN4" s="343" t="s">
        <v>1404</v>
      </c>
      <c r="AO4" s="341" t="s">
        <v>1355</v>
      </c>
      <c r="AP4" s="348" t="s">
        <v>977</v>
      </c>
      <c r="AQ4" s="348" t="s">
        <v>871</v>
      </c>
      <c r="AR4" s="348">
        <v>33</v>
      </c>
      <c r="AS4" s="348" t="s">
        <v>812</v>
      </c>
      <c r="AT4" s="348" t="s">
        <v>990</v>
      </c>
      <c r="AU4" s="349" t="s">
        <v>1385</v>
      </c>
      <c r="AV4" s="348" t="s">
        <v>567</v>
      </c>
      <c r="AW4" s="343" t="s">
        <v>873</v>
      </c>
      <c r="AX4" s="352">
        <v>60</v>
      </c>
      <c r="AY4" s="352" t="s">
        <v>567</v>
      </c>
      <c r="AZ4" s="352" t="s">
        <v>966</v>
      </c>
      <c r="BA4" s="341" t="s">
        <v>545</v>
      </c>
      <c r="BB4" s="341" t="s">
        <v>995</v>
      </c>
      <c r="BC4" s="361" t="s">
        <v>184</v>
      </c>
      <c r="BD4" s="362" t="s">
        <v>996</v>
      </c>
      <c r="BE4" s="337" t="s">
        <v>860</v>
      </c>
      <c r="BF4" s="341" t="s">
        <v>807</v>
      </c>
      <c r="BG4" s="341" t="s">
        <v>806</v>
      </c>
      <c r="BH4" s="1">
        <v>20899</v>
      </c>
      <c r="BI4" s="352" t="s">
        <v>966</v>
      </c>
      <c r="BJ4" s="274"/>
    </row>
    <row r="5" spans="2:62" ht="15.75" thickTop="1" x14ac:dyDescent="0.25">
      <c r="B5" s="294" t="s">
        <v>1225</v>
      </c>
      <c r="C5" s="321" t="s">
        <v>432</v>
      </c>
      <c r="D5" s="293" t="s">
        <v>154</v>
      </c>
      <c r="E5" s="293" t="s">
        <v>809</v>
      </c>
      <c r="F5" s="454" t="s">
        <v>1059</v>
      </c>
      <c r="G5" s="455" t="s">
        <v>1060</v>
      </c>
      <c r="H5" s="454" t="s">
        <v>1061</v>
      </c>
      <c r="I5" s="455" t="s">
        <v>1226</v>
      </c>
      <c r="J5" s="454" t="s">
        <v>1062</v>
      </c>
      <c r="K5" s="463" t="s">
        <v>432</v>
      </c>
      <c r="L5" s="456" t="s">
        <v>1063</v>
      </c>
      <c r="M5" s="293" t="s">
        <v>966</v>
      </c>
      <c r="N5" s="292" t="s">
        <v>966</v>
      </c>
      <c r="O5" s="262"/>
      <c r="P5" s="273" t="s">
        <v>248</v>
      </c>
      <c r="Q5" s="274" t="s">
        <v>249</v>
      </c>
      <c r="R5" s="269"/>
      <c r="S5" s="275" t="s">
        <v>826</v>
      </c>
      <c r="T5" s="276" t="s">
        <v>673</v>
      </c>
      <c r="U5" s="262"/>
      <c r="V5" s="271" t="s">
        <v>814</v>
      </c>
      <c r="W5" s="277" t="s">
        <v>674</v>
      </c>
      <c r="X5" s="310"/>
      <c r="Y5" s="367" t="s">
        <v>145</v>
      </c>
      <c r="Z5" s="310"/>
      <c r="AA5" s="374" t="s">
        <v>142</v>
      </c>
      <c r="AB5" s="376"/>
      <c r="AC5" s="380"/>
      <c r="AD5" s="319" t="s">
        <v>147</v>
      </c>
      <c r="AE5" s="154" t="s">
        <v>148</v>
      </c>
      <c r="AF5" s="392" t="s">
        <v>149</v>
      </c>
      <c r="AG5" s="204" t="s">
        <v>1418</v>
      </c>
      <c r="AH5" s="387" t="s">
        <v>145</v>
      </c>
      <c r="AJ5" s="262"/>
      <c r="AL5" s="351">
        <v>3</v>
      </c>
      <c r="AM5" s="341" t="s">
        <v>875</v>
      </c>
      <c r="AN5" s="343" t="s">
        <v>1404</v>
      </c>
      <c r="AO5" s="341" t="s">
        <v>1355</v>
      </c>
      <c r="AP5" s="348" t="s">
        <v>977</v>
      </c>
      <c r="AQ5" s="348" t="s">
        <v>871</v>
      </c>
      <c r="AR5" s="348">
        <v>34</v>
      </c>
      <c r="AS5" s="348" t="s">
        <v>812</v>
      </c>
      <c r="AT5" s="348" t="s">
        <v>990</v>
      </c>
      <c r="AU5" s="349" t="s">
        <v>1385</v>
      </c>
      <c r="AV5" s="348" t="s">
        <v>567</v>
      </c>
      <c r="AW5" s="343" t="s">
        <v>873</v>
      </c>
      <c r="AX5" s="352">
        <v>60</v>
      </c>
      <c r="AY5" s="352" t="s">
        <v>567</v>
      </c>
      <c r="AZ5" s="352" t="s">
        <v>966</v>
      </c>
      <c r="BA5" s="341" t="s">
        <v>545</v>
      </c>
      <c r="BB5" s="341" t="s">
        <v>995</v>
      </c>
      <c r="BC5" s="361" t="s">
        <v>184</v>
      </c>
      <c r="BD5" s="362" t="s">
        <v>996</v>
      </c>
      <c r="BE5" s="337" t="s">
        <v>860</v>
      </c>
      <c r="BF5" s="341" t="s">
        <v>807</v>
      </c>
      <c r="BG5" s="341" t="s">
        <v>806</v>
      </c>
      <c r="BH5" s="1">
        <v>20899</v>
      </c>
      <c r="BI5" s="352" t="s">
        <v>966</v>
      </c>
      <c r="BJ5" s="274"/>
    </row>
    <row r="6" spans="2:62" ht="15.75" thickBot="1" x14ac:dyDescent="0.3">
      <c r="B6" s="294" t="s">
        <v>1224</v>
      </c>
      <c r="C6" s="321" t="s">
        <v>431</v>
      </c>
      <c r="D6" s="293" t="s">
        <v>154</v>
      </c>
      <c r="E6" s="293" t="s">
        <v>809</v>
      </c>
      <c r="F6" s="440" t="s">
        <v>1183</v>
      </c>
      <c r="G6" s="440" t="s">
        <v>1184</v>
      </c>
      <c r="H6" s="293" t="s">
        <v>1185</v>
      </c>
      <c r="I6" s="316" t="s">
        <v>1223</v>
      </c>
      <c r="J6" s="316" t="s">
        <v>1186</v>
      </c>
      <c r="K6" s="462" t="s">
        <v>431</v>
      </c>
      <c r="L6" s="293" t="s">
        <v>1187</v>
      </c>
      <c r="M6" s="293" t="s">
        <v>966</v>
      </c>
      <c r="N6" s="292" t="s">
        <v>966</v>
      </c>
      <c r="O6" s="262"/>
      <c r="P6" s="273" t="s">
        <v>251</v>
      </c>
      <c r="Q6" s="274" t="s">
        <v>252</v>
      </c>
      <c r="R6" s="269"/>
      <c r="S6" s="275" t="s">
        <v>827</v>
      </c>
      <c r="T6" s="276" t="s">
        <v>675</v>
      </c>
      <c r="U6" s="262"/>
      <c r="V6" s="271" t="s">
        <v>815</v>
      </c>
      <c r="W6" s="277" t="s">
        <v>676</v>
      </c>
      <c r="X6" s="310"/>
      <c r="Y6" s="367" t="s">
        <v>151</v>
      </c>
      <c r="Z6" s="310"/>
      <c r="AA6" s="374" t="s">
        <v>146</v>
      </c>
      <c r="AB6" s="376"/>
      <c r="AC6" s="380"/>
      <c r="AD6" s="396" t="s">
        <v>173</v>
      </c>
      <c r="AE6" s="154" t="s">
        <v>174</v>
      </c>
      <c r="AF6" s="392" t="s">
        <v>175</v>
      </c>
      <c r="AG6" s="78" t="s">
        <v>1419</v>
      </c>
      <c r="AH6" s="387" t="s">
        <v>145</v>
      </c>
      <c r="AJ6" s="262"/>
      <c r="AL6" s="351">
        <v>4</v>
      </c>
      <c r="AM6" s="341" t="s">
        <v>878</v>
      </c>
      <c r="AN6" s="343" t="s">
        <v>1372</v>
      </c>
      <c r="AO6" s="341" t="s">
        <v>1355</v>
      </c>
      <c r="AP6" s="348" t="s">
        <v>977</v>
      </c>
      <c r="AQ6" s="348" t="s">
        <v>877</v>
      </c>
      <c r="AR6" s="348">
        <v>27</v>
      </c>
      <c r="AS6" s="348" t="s">
        <v>812</v>
      </c>
      <c r="AT6" s="348" t="s">
        <v>990</v>
      </c>
      <c r="AU6" s="349" t="s">
        <v>966</v>
      </c>
      <c r="AV6" s="348" t="s">
        <v>567</v>
      </c>
      <c r="AW6" s="343" t="s">
        <v>879</v>
      </c>
      <c r="AX6" s="352" t="s">
        <v>966</v>
      </c>
      <c r="AY6" s="352" t="s">
        <v>567</v>
      </c>
      <c r="AZ6" s="352" t="s">
        <v>966</v>
      </c>
      <c r="BA6" s="341" t="s">
        <v>545</v>
      </c>
      <c r="BB6" s="341" t="s">
        <v>995</v>
      </c>
      <c r="BC6" s="361" t="s">
        <v>184</v>
      </c>
      <c r="BD6" s="362" t="s">
        <v>996</v>
      </c>
      <c r="BE6" s="337" t="s">
        <v>860</v>
      </c>
      <c r="BF6" s="341" t="s">
        <v>807</v>
      </c>
      <c r="BG6" s="341" t="s">
        <v>806</v>
      </c>
      <c r="BH6" s="1">
        <v>20899</v>
      </c>
      <c r="BI6" s="352" t="s">
        <v>966</v>
      </c>
      <c r="BJ6" s="274"/>
    </row>
    <row r="7" spans="2:62" ht="15.75" thickTop="1" x14ac:dyDescent="0.25">
      <c r="B7" s="294" t="s">
        <v>1228</v>
      </c>
      <c r="C7" s="321" t="s">
        <v>433</v>
      </c>
      <c r="D7" s="293" t="s">
        <v>158</v>
      </c>
      <c r="E7" s="293" t="s">
        <v>809</v>
      </c>
      <c r="F7" s="440" t="s">
        <v>1230</v>
      </c>
      <c r="G7" s="440" t="s">
        <v>1430</v>
      </c>
      <c r="H7" s="293" t="s">
        <v>1229</v>
      </c>
      <c r="I7" s="316" t="s">
        <v>1227</v>
      </c>
      <c r="J7" s="316" t="s">
        <v>1487</v>
      </c>
      <c r="K7" s="462" t="s">
        <v>433</v>
      </c>
      <c r="L7" s="293">
        <v>95828</v>
      </c>
      <c r="M7" s="293" t="s">
        <v>966</v>
      </c>
      <c r="N7" s="292" t="s">
        <v>966</v>
      </c>
      <c r="O7" s="262"/>
      <c r="P7" s="273" t="s">
        <v>253</v>
      </c>
      <c r="Q7" s="274" t="s">
        <v>254</v>
      </c>
      <c r="R7" s="269"/>
      <c r="S7" s="275" t="s">
        <v>828</v>
      </c>
      <c r="T7" s="276" t="s">
        <v>677</v>
      </c>
      <c r="U7" s="262"/>
      <c r="V7" s="271" t="s">
        <v>816</v>
      </c>
      <c r="W7" s="277" t="s">
        <v>678</v>
      </c>
      <c r="X7" s="310"/>
      <c r="Y7" s="367" t="s">
        <v>154</v>
      </c>
      <c r="Z7" s="310"/>
      <c r="AA7" s="374" t="s">
        <v>152</v>
      </c>
      <c r="AB7" s="376"/>
      <c r="AC7" s="380"/>
      <c r="AD7" s="396" t="s">
        <v>164</v>
      </c>
      <c r="AE7" s="154" t="s">
        <v>165</v>
      </c>
      <c r="AF7" s="392" t="s">
        <v>166</v>
      </c>
      <c r="AG7" s="78" t="s">
        <v>1420</v>
      </c>
      <c r="AH7" s="387" t="s">
        <v>151</v>
      </c>
      <c r="AJ7" s="307" t="s">
        <v>805</v>
      </c>
      <c r="AL7" s="351">
        <v>5</v>
      </c>
      <c r="AM7" s="341" t="s">
        <v>880</v>
      </c>
      <c r="AN7" s="343" t="s">
        <v>1372</v>
      </c>
      <c r="AO7" s="341" t="s">
        <v>1355</v>
      </c>
      <c r="AP7" s="348" t="s">
        <v>977</v>
      </c>
      <c r="AQ7" s="348" t="s">
        <v>877</v>
      </c>
      <c r="AR7" s="348">
        <v>27</v>
      </c>
      <c r="AS7" s="348" t="s">
        <v>812</v>
      </c>
      <c r="AT7" s="348" t="s">
        <v>990</v>
      </c>
      <c r="AU7" s="349" t="s">
        <v>966</v>
      </c>
      <c r="AV7" s="348" t="s">
        <v>567</v>
      </c>
      <c r="AW7" s="343" t="s">
        <v>879</v>
      </c>
      <c r="AX7" s="352" t="s">
        <v>966</v>
      </c>
      <c r="AY7" s="352" t="s">
        <v>567</v>
      </c>
      <c r="AZ7" s="352" t="s">
        <v>966</v>
      </c>
      <c r="BA7" s="341" t="s">
        <v>545</v>
      </c>
      <c r="BB7" s="341" t="s">
        <v>995</v>
      </c>
      <c r="BC7" s="361" t="s">
        <v>184</v>
      </c>
      <c r="BD7" s="362" t="s">
        <v>996</v>
      </c>
      <c r="BE7" s="337" t="s">
        <v>860</v>
      </c>
      <c r="BF7" s="341" t="s">
        <v>807</v>
      </c>
      <c r="BG7" s="341" t="s">
        <v>806</v>
      </c>
      <c r="BH7" s="1">
        <v>20899</v>
      </c>
      <c r="BI7" s="352" t="s">
        <v>966</v>
      </c>
      <c r="BJ7" s="274"/>
    </row>
    <row r="8" spans="2:62" x14ac:dyDescent="0.25">
      <c r="B8" s="294" t="s">
        <v>1232</v>
      </c>
      <c r="C8" s="321" t="s">
        <v>434</v>
      </c>
      <c r="D8" s="293" t="s">
        <v>154</v>
      </c>
      <c r="E8" s="293" t="s">
        <v>809</v>
      </c>
      <c r="F8" s="440" t="s">
        <v>1064</v>
      </c>
      <c r="G8" s="440" t="s">
        <v>1065</v>
      </c>
      <c r="H8" s="293" t="s">
        <v>1066</v>
      </c>
      <c r="I8" s="316" t="s">
        <v>1231</v>
      </c>
      <c r="J8" s="316" t="s">
        <v>1067</v>
      </c>
      <c r="K8" s="462" t="s">
        <v>434</v>
      </c>
      <c r="L8" s="293">
        <v>80021</v>
      </c>
      <c r="M8" s="293" t="s">
        <v>966</v>
      </c>
      <c r="N8" s="292" t="s">
        <v>966</v>
      </c>
      <c r="O8" s="267"/>
      <c r="P8" s="273" t="s">
        <v>255</v>
      </c>
      <c r="Q8" s="274" t="s">
        <v>256</v>
      </c>
      <c r="R8" s="269"/>
      <c r="S8" s="275" t="s">
        <v>829</v>
      </c>
      <c r="T8" s="276" t="s">
        <v>679</v>
      </c>
      <c r="U8" s="262"/>
      <c r="V8" s="271" t="s">
        <v>817</v>
      </c>
      <c r="W8" s="277" t="s">
        <v>680</v>
      </c>
      <c r="X8" s="310"/>
      <c r="Y8" s="367" t="s">
        <v>158</v>
      </c>
      <c r="Z8" s="310"/>
      <c r="AA8" s="374" t="s">
        <v>155</v>
      </c>
      <c r="AB8" s="376"/>
      <c r="AC8" s="380"/>
      <c r="AD8" s="319" t="s">
        <v>156</v>
      </c>
      <c r="AE8" s="154" t="s">
        <v>1038</v>
      </c>
      <c r="AF8" s="392" t="s">
        <v>1025</v>
      </c>
      <c r="AG8" s="204" t="s">
        <v>1421</v>
      </c>
      <c r="AH8" s="387" t="s">
        <v>154</v>
      </c>
      <c r="AJ8" s="280" t="s">
        <v>247</v>
      </c>
      <c r="AL8" s="351">
        <v>6</v>
      </c>
      <c r="AM8" s="341" t="s">
        <v>881</v>
      </c>
      <c r="AN8" s="343" t="s">
        <v>1372</v>
      </c>
      <c r="AO8" s="341" t="s">
        <v>1355</v>
      </c>
      <c r="AP8" s="348" t="s">
        <v>977</v>
      </c>
      <c r="AQ8" s="348" t="s">
        <v>877</v>
      </c>
      <c r="AR8" s="348">
        <v>27</v>
      </c>
      <c r="AS8" s="348" t="s">
        <v>812</v>
      </c>
      <c r="AT8" s="348" t="s">
        <v>990</v>
      </c>
      <c r="AU8" s="349" t="s">
        <v>966</v>
      </c>
      <c r="AV8" s="348" t="s">
        <v>567</v>
      </c>
      <c r="AW8" s="343" t="s">
        <v>879</v>
      </c>
      <c r="AX8" s="352" t="s">
        <v>966</v>
      </c>
      <c r="AY8" s="352" t="s">
        <v>567</v>
      </c>
      <c r="AZ8" s="352" t="s">
        <v>966</v>
      </c>
      <c r="BA8" s="341" t="s">
        <v>545</v>
      </c>
      <c r="BB8" s="341" t="s">
        <v>995</v>
      </c>
      <c r="BC8" s="361" t="s">
        <v>184</v>
      </c>
      <c r="BD8" s="362" t="s">
        <v>996</v>
      </c>
      <c r="BE8" s="337" t="s">
        <v>860</v>
      </c>
      <c r="BF8" s="341" t="s">
        <v>807</v>
      </c>
      <c r="BG8" s="341" t="s">
        <v>806</v>
      </c>
      <c r="BH8" s="1">
        <v>20899</v>
      </c>
      <c r="BI8" s="352" t="s">
        <v>966</v>
      </c>
      <c r="BJ8" s="274"/>
    </row>
    <row r="9" spans="2:62" x14ac:dyDescent="0.25">
      <c r="B9" s="294" t="s">
        <v>1233</v>
      </c>
      <c r="C9" s="321" t="s">
        <v>435</v>
      </c>
      <c r="D9" s="293" t="s">
        <v>681</v>
      </c>
      <c r="E9" s="293" t="s">
        <v>809</v>
      </c>
      <c r="F9" s="440" t="s">
        <v>1073</v>
      </c>
      <c r="G9" s="440" t="s">
        <v>1074</v>
      </c>
      <c r="H9" s="293"/>
      <c r="I9" s="316" t="s">
        <v>1234</v>
      </c>
      <c r="J9" s="316" t="s">
        <v>1075</v>
      </c>
      <c r="K9" s="462" t="s">
        <v>435</v>
      </c>
      <c r="L9" s="293" t="s">
        <v>1076</v>
      </c>
      <c r="M9" s="293" t="s">
        <v>966</v>
      </c>
      <c r="N9" s="292" t="s">
        <v>966</v>
      </c>
      <c r="O9" s="267"/>
      <c r="P9" s="273" t="s">
        <v>257</v>
      </c>
      <c r="Q9" s="274" t="s">
        <v>258</v>
      </c>
      <c r="R9" s="269"/>
      <c r="S9" s="275" t="s">
        <v>830</v>
      </c>
      <c r="T9" s="276" t="s">
        <v>682</v>
      </c>
      <c r="U9" s="262"/>
      <c r="V9" s="271" t="s">
        <v>818</v>
      </c>
      <c r="W9" s="277" t="s">
        <v>683</v>
      </c>
      <c r="X9" s="310"/>
      <c r="Y9" s="367" t="s">
        <v>162</v>
      </c>
      <c r="Z9" s="310"/>
      <c r="AA9" s="374" t="s">
        <v>159</v>
      </c>
      <c r="AB9" s="376"/>
      <c r="AC9" s="380"/>
      <c r="AD9" s="319" t="s">
        <v>160</v>
      </c>
      <c r="AE9" s="154" t="s">
        <v>1039</v>
      </c>
      <c r="AF9" s="392" t="s">
        <v>161</v>
      </c>
      <c r="AG9" s="204" t="s">
        <v>1422</v>
      </c>
      <c r="AH9" s="387" t="s">
        <v>158</v>
      </c>
      <c r="AJ9" s="305" t="s">
        <v>250</v>
      </c>
      <c r="AL9" s="351">
        <v>7</v>
      </c>
      <c r="AM9" s="341" t="s">
        <v>882</v>
      </c>
      <c r="AN9" s="343" t="s">
        <v>1372</v>
      </c>
      <c r="AO9" s="341" t="s">
        <v>1355</v>
      </c>
      <c r="AP9" s="348" t="s">
        <v>977</v>
      </c>
      <c r="AQ9" s="348" t="s">
        <v>877</v>
      </c>
      <c r="AR9" s="348">
        <v>1</v>
      </c>
      <c r="AS9" s="348" t="s">
        <v>812</v>
      </c>
      <c r="AT9" s="348" t="s">
        <v>990</v>
      </c>
      <c r="AU9" s="349" t="s">
        <v>966</v>
      </c>
      <c r="AV9" s="348" t="s">
        <v>567</v>
      </c>
      <c r="AW9" s="343" t="s">
        <v>879</v>
      </c>
      <c r="AX9" s="352" t="s">
        <v>966</v>
      </c>
      <c r="AY9" s="352" t="s">
        <v>567</v>
      </c>
      <c r="AZ9" s="352" t="s">
        <v>966</v>
      </c>
      <c r="BA9" s="341" t="s">
        <v>545</v>
      </c>
      <c r="BB9" s="341" t="s">
        <v>995</v>
      </c>
      <c r="BC9" s="361" t="s">
        <v>184</v>
      </c>
      <c r="BD9" s="362" t="s">
        <v>996</v>
      </c>
      <c r="BE9" s="337" t="s">
        <v>860</v>
      </c>
      <c r="BF9" s="341" t="s">
        <v>807</v>
      </c>
      <c r="BG9" s="341" t="s">
        <v>806</v>
      </c>
      <c r="BH9" s="1">
        <v>20899</v>
      </c>
      <c r="BI9" s="352" t="s">
        <v>966</v>
      </c>
      <c r="BJ9" s="274"/>
    </row>
    <row r="10" spans="2:62" ht="15.75" thickBot="1" x14ac:dyDescent="0.3">
      <c r="B10" s="294" t="s">
        <v>733</v>
      </c>
      <c r="C10" s="321" t="s">
        <v>732</v>
      </c>
      <c r="D10" s="293" t="s">
        <v>151</v>
      </c>
      <c r="E10" s="293" t="s">
        <v>810</v>
      </c>
      <c r="F10" s="440" t="s">
        <v>966</v>
      </c>
      <c r="G10" s="440" t="s">
        <v>966</v>
      </c>
      <c r="H10" s="293" t="s">
        <v>966</v>
      </c>
      <c r="I10" s="316" t="s">
        <v>1235</v>
      </c>
      <c r="J10" s="316" t="s">
        <v>966</v>
      </c>
      <c r="K10" s="462" t="s">
        <v>732</v>
      </c>
      <c r="L10" s="293" t="s">
        <v>966</v>
      </c>
      <c r="M10" s="293" t="s">
        <v>966</v>
      </c>
      <c r="N10" s="292" t="s">
        <v>966</v>
      </c>
      <c r="O10" s="267"/>
      <c r="P10" s="273" t="s">
        <v>259</v>
      </c>
      <c r="Q10" s="274" t="s">
        <v>260</v>
      </c>
      <c r="R10" s="269"/>
      <c r="S10" s="275" t="s">
        <v>831</v>
      </c>
      <c r="T10" s="276" t="s">
        <v>684</v>
      </c>
      <c r="U10" s="262"/>
      <c r="V10" s="271" t="s">
        <v>819</v>
      </c>
      <c r="W10" s="277" t="s">
        <v>685</v>
      </c>
      <c r="X10" s="310"/>
      <c r="Y10" s="367"/>
      <c r="Z10" s="310"/>
      <c r="AA10" s="374" t="s">
        <v>163</v>
      </c>
      <c r="AB10" s="376"/>
      <c r="AC10" s="380"/>
      <c r="AD10" s="396" t="s">
        <v>1019</v>
      </c>
      <c r="AE10" s="154" t="s">
        <v>1021</v>
      </c>
      <c r="AF10" s="392" t="s">
        <v>1020</v>
      </c>
      <c r="AG10" s="78" t="s">
        <v>1423</v>
      </c>
      <c r="AH10" s="387" t="s">
        <v>158</v>
      </c>
      <c r="AJ10" s="306"/>
      <c r="AL10" s="351">
        <v>8</v>
      </c>
      <c r="AM10" s="341" t="s">
        <v>884</v>
      </c>
      <c r="AN10" s="343" t="s">
        <v>1403</v>
      </c>
      <c r="AO10" s="341" t="s">
        <v>883</v>
      </c>
      <c r="AP10" s="348" t="s">
        <v>1393</v>
      </c>
      <c r="AQ10" s="348" t="s">
        <v>982</v>
      </c>
      <c r="AR10" s="348">
        <v>1</v>
      </c>
      <c r="AS10" s="348" t="s">
        <v>814</v>
      </c>
      <c r="AT10" s="348" t="s">
        <v>990</v>
      </c>
      <c r="AU10" s="349" t="s">
        <v>567</v>
      </c>
      <c r="AV10" s="348" t="s">
        <v>1357</v>
      </c>
      <c r="AW10" s="343" t="s">
        <v>885</v>
      </c>
      <c r="AX10" s="352">
        <v>65</v>
      </c>
      <c r="AY10" s="516" t="s">
        <v>567</v>
      </c>
      <c r="AZ10" s="352" t="s">
        <v>966</v>
      </c>
      <c r="BA10" s="341" t="s">
        <v>545</v>
      </c>
      <c r="BB10" s="341" t="s">
        <v>995</v>
      </c>
      <c r="BC10" s="361" t="s">
        <v>184</v>
      </c>
      <c r="BD10" s="362" t="s">
        <v>996</v>
      </c>
      <c r="BE10" s="337" t="s">
        <v>860</v>
      </c>
      <c r="BF10" s="341" t="s">
        <v>807</v>
      </c>
      <c r="BG10" s="341" t="s">
        <v>806</v>
      </c>
      <c r="BH10" s="1">
        <v>20899</v>
      </c>
      <c r="BI10" s="352" t="s">
        <v>966</v>
      </c>
      <c r="BJ10" s="274"/>
    </row>
    <row r="11" spans="2:62" ht="16.5" thickTop="1" thickBot="1" x14ac:dyDescent="0.3">
      <c r="B11" s="294" t="s">
        <v>1237</v>
      </c>
      <c r="C11" s="321" t="s">
        <v>436</v>
      </c>
      <c r="D11" s="293" t="s">
        <v>681</v>
      </c>
      <c r="E11" s="293" t="s">
        <v>809</v>
      </c>
      <c r="F11" s="440" t="s">
        <v>966</v>
      </c>
      <c r="G11" s="440" t="s">
        <v>966</v>
      </c>
      <c r="H11" s="293" t="s">
        <v>966</v>
      </c>
      <c r="I11" s="316" t="s">
        <v>1236</v>
      </c>
      <c r="J11" s="316" t="s">
        <v>966</v>
      </c>
      <c r="K11" s="462" t="s">
        <v>436</v>
      </c>
      <c r="L11" s="293" t="s">
        <v>966</v>
      </c>
      <c r="M11" s="293" t="s">
        <v>966</v>
      </c>
      <c r="N11" s="292" t="s">
        <v>966</v>
      </c>
      <c r="O11" s="267"/>
      <c r="P11" s="273" t="s">
        <v>262</v>
      </c>
      <c r="Q11" s="274" t="s">
        <v>263</v>
      </c>
      <c r="R11" s="269"/>
      <c r="S11" s="275" t="s">
        <v>832</v>
      </c>
      <c r="T11" s="276" t="s">
        <v>686</v>
      </c>
      <c r="U11" s="262"/>
      <c r="V11" s="267" t="s">
        <v>811</v>
      </c>
      <c r="W11" s="277" t="s">
        <v>261</v>
      </c>
      <c r="X11" s="310"/>
      <c r="Y11" s="368"/>
      <c r="Z11" s="310"/>
      <c r="AA11" s="374" t="s">
        <v>167</v>
      </c>
      <c r="AB11" s="376"/>
      <c r="AC11" s="380"/>
      <c r="AD11" s="397"/>
      <c r="AE11" s="391"/>
      <c r="AF11" s="393"/>
      <c r="AG11" s="391"/>
      <c r="AH11" s="395"/>
      <c r="AJ11" s="262"/>
      <c r="AL11" s="351">
        <v>9</v>
      </c>
      <c r="AM11" s="341" t="s">
        <v>1356</v>
      </c>
      <c r="AN11" s="343" t="s">
        <v>1403</v>
      </c>
      <c r="AO11" s="341" t="s">
        <v>883</v>
      </c>
      <c r="AP11" s="348" t="s">
        <v>1393</v>
      </c>
      <c r="AQ11" s="348" t="s">
        <v>982</v>
      </c>
      <c r="AR11" s="348">
        <v>1</v>
      </c>
      <c r="AS11" s="348" t="s">
        <v>814</v>
      </c>
      <c r="AT11" s="348" t="s">
        <v>990</v>
      </c>
      <c r="AU11" s="349" t="s">
        <v>567</v>
      </c>
      <c r="AV11" s="348" t="s">
        <v>1357</v>
      </c>
      <c r="AW11" s="343" t="s">
        <v>885</v>
      </c>
      <c r="AX11" s="352">
        <v>65</v>
      </c>
      <c r="AY11" s="516" t="s">
        <v>567</v>
      </c>
      <c r="AZ11" s="352" t="s">
        <v>966</v>
      </c>
      <c r="BA11" s="341" t="s">
        <v>545</v>
      </c>
      <c r="BB11" s="341" t="s">
        <v>995</v>
      </c>
      <c r="BC11" s="361" t="s">
        <v>184</v>
      </c>
      <c r="BD11" s="362" t="s">
        <v>996</v>
      </c>
      <c r="BE11" s="337" t="s">
        <v>860</v>
      </c>
      <c r="BF11" s="341" t="s">
        <v>807</v>
      </c>
      <c r="BG11" s="341" t="s">
        <v>806</v>
      </c>
      <c r="BH11" s="1">
        <v>20899</v>
      </c>
      <c r="BI11" s="352" t="s">
        <v>966</v>
      </c>
      <c r="BJ11" s="274"/>
    </row>
    <row r="12" spans="2:62" ht="16.5" thickTop="1" thickBot="1" x14ac:dyDescent="0.3">
      <c r="B12" s="294" t="s">
        <v>1239</v>
      </c>
      <c r="C12" s="321" t="s">
        <v>437</v>
      </c>
      <c r="D12" s="293" t="s">
        <v>151</v>
      </c>
      <c r="E12" s="293" t="s">
        <v>809</v>
      </c>
      <c r="F12" s="440" t="s">
        <v>164</v>
      </c>
      <c r="G12" s="440" t="s">
        <v>1085</v>
      </c>
      <c r="H12" s="293" t="s">
        <v>166</v>
      </c>
      <c r="I12" s="316" t="s">
        <v>1238</v>
      </c>
      <c r="J12" s="316" t="s">
        <v>1086</v>
      </c>
      <c r="K12" s="462" t="s">
        <v>437</v>
      </c>
      <c r="L12" s="293">
        <v>32399</v>
      </c>
      <c r="M12" s="293" t="s">
        <v>966</v>
      </c>
      <c r="N12" s="292" t="s">
        <v>966</v>
      </c>
      <c r="O12" s="262"/>
      <c r="P12" s="273" t="s">
        <v>265</v>
      </c>
      <c r="Q12" s="274" t="s">
        <v>266</v>
      </c>
      <c r="R12" s="269"/>
      <c r="S12" s="275" t="s">
        <v>833</v>
      </c>
      <c r="T12" s="276" t="s">
        <v>687</v>
      </c>
      <c r="U12" s="262"/>
      <c r="V12" s="267" t="s">
        <v>820</v>
      </c>
      <c r="W12" s="277" t="s">
        <v>264</v>
      </c>
      <c r="X12" s="310"/>
      <c r="Z12" s="310"/>
      <c r="AA12" s="374" t="s">
        <v>172</v>
      </c>
      <c r="AB12" s="376"/>
      <c r="AC12" s="380"/>
      <c r="AD12" s="397"/>
      <c r="AE12" s="391"/>
      <c r="AF12" s="393"/>
      <c r="AG12" s="391"/>
      <c r="AH12" s="395"/>
      <c r="AJ12" s="308"/>
      <c r="AL12" s="351">
        <v>10</v>
      </c>
      <c r="AM12" s="341" t="s">
        <v>887</v>
      </c>
      <c r="AN12" s="343" t="s">
        <v>1485</v>
      </c>
      <c r="AO12" s="341" t="s">
        <v>883</v>
      </c>
      <c r="AP12" s="348" t="s">
        <v>886</v>
      </c>
      <c r="AQ12" s="348" t="s">
        <v>982</v>
      </c>
      <c r="AR12" s="348">
        <v>1</v>
      </c>
      <c r="AS12" s="348" t="s">
        <v>814</v>
      </c>
      <c r="AT12" s="348" t="s">
        <v>990</v>
      </c>
      <c r="AU12" s="349" t="s">
        <v>567</v>
      </c>
      <c r="AV12" s="348" t="s">
        <v>1357</v>
      </c>
      <c r="AW12" s="343" t="s">
        <v>888</v>
      </c>
      <c r="AX12" s="352">
        <v>80</v>
      </c>
      <c r="AY12" s="516" t="s">
        <v>1359</v>
      </c>
      <c r="AZ12" s="352" t="s">
        <v>966</v>
      </c>
      <c r="BA12" s="341" t="s">
        <v>545</v>
      </c>
      <c r="BB12" s="341" t="s">
        <v>995</v>
      </c>
      <c r="BC12" s="361" t="s">
        <v>184</v>
      </c>
      <c r="BD12" s="362" t="s">
        <v>996</v>
      </c>
      <c r="BE12" s="337" t="s">
        <v>860</v>
      </c>
      <c r="BF12" s="341" t="s">
        <v>807</v>
      </c>
      <c r="BG12" s="341" t="s">
        <v>806</v>
      </c>
      <c r="BH12" s="1">
        <v>20899</v>
      </c>
      <c r="BI12" s="352" t="s">
        <v>966</v>
      </c>
      <c r="BJ12" s="274"/>
    </row>
    <row r="13" spans="2:62" ht="16.5" thickTop="1" thickBot="1" x14ac:dyDescent="0.3">
      <c r="B13" s="294" t="s">
        <v>1241</v>
      </c>
      <c r="C13" s="321" t="s">
        <v>438</v>
      </c>
      <c r="D13" s="293" t="s">
        <v>151</v>
      </c>
      <c r="E13" s="293" t="s">
        <v>809</v>
      </c>
      <c r="F13" s="440" t="s">
        <v>1087</v>
      </c>
      <c r="G13" s="440" t="s">
        <v>1088</v>
      </c>
      <c r="H13" s="293" t="s">
        <v>1089</v>
      </c>
      <c r="I13" s="316" t="s">
        <v>1240</v>
      </c>
      <c r="J13" s="316" t="s">
        <v>1090</v>
      </c>
      <c r="K13" s="462" t="s">
        <v>438</v>
      </c>
      <c r="L13" s="293" t="s">
        <v>1091</v>
      </c>
      <c r="M13" s="293" t="s">
        <v>966</v>
      </c>
      <c r="N13" s="292" t="s">
        <v>966</v>
      </c>
      <c r="O13" s="262"/>
      <c r="P13" s="273" t="s">
        <v>268</v>
      </c>
      <c r="Q13" s="274" t="s">
        <v>269</v>
      </c>
      <c r="R13" s="269"/>
      <c r="S13" s="275" t="s">
        <v>834</v>
      </c>
      <c r="T13" s="276" t="s">
        <v>688</v>
      </c>
      <c r="U13" s="262"/>
      <c r="V13" s="267" t="s">
        <v>821</v>
      </c>
      <c r="W13" s="277" t="s">
        <v>267</v>
      </c>
      <c r="X13" s="310"/>
      <c r="Y13" s="7"/>
      <c r="Z13" s="379"/>
      <c r="AA13" s="374" t="s">
        <v>176</v>
      </c>
      <c r="AB13" s="376"/>
      <c r="AC13" s="380"/>
      <c r="AD13" s="398"/>
      <c r="AE13" s="400"/>
      <c r="AF13" s="401"/>
      <c r="AG13" s="400"/>
      <c r="AH13" s="399"/>
      <c r="AJ13" s="304" t="s">
        <v>239</v>
      </c>
      <c r="AL13" s="351">
        <v>11</v>
      </c>
      <c r="AM13" s="341" t="s">
        <v>889</v>
      </c>
      <c r="AN13" s="343" t="s">
        <v>1367</v>
      </c>
      <c r="AO13" s="341" t="s">
        <v>883</v>
      </c>
      <c r="AP13" s="348" t="s">
        <v>1486</v>
      </c>
      <c r="AQ13" s="348" t="s">
        <v>982</v>
      </c>
      <c r="AR13" s="348">
        <v>1</v>
      </c>
      <c r="AS13" s="348" t="s">
        <v>814</v>
      </c>
      <c r="AT13" s="348" t="s">
        <v>990</v>
      </c>
      <c r="AU13" s="349" t="s">
        <v>567</v>
      </c>
      <c r="AV13" s="348" t="s">
        <v>1357</v>
      </c>
      <c r="AW13" s="343" t="s">
        <v>890</v>
      </c>
      <c r="AX13" s="352">
        <v>80</v>
      </c>
      <c r="AY13" s="516" t="s">
        <v>1527</v>
      </c>
      <c r="AZ13" s="352" t="s">
        <v>966</v>
      </c>
      <c r="BA13" s="341" t="s">
        <v>545</v>
      </c>
      <c r="BB13" s="341" t="s">
        <v>995</v>
      </c>
      <c r="BC13" s="361" t="s">
        <v>184</v>
      </c>
      <c r="BD13" s="362" t="s">
        <v>996</v>
      </c>
      <c r="BE13" s="337" t="s">
        <v>860</v>
      </c>
      <c r="BF13" s="341" t="s">
        <v>807</v>
      </c>
      <c r="BG13" s="341" t="s">
        <v>806</v>
      </c>
      <c r="BH13" s="1">
        <v>20899</v>
      </c>
      <c r="BI13" s="352" t="s">
        <v>966</v>
      </c>
      <c r="BJ13" s="274"/>
    </row>
    <row r="14" spans="2:62" ht="16.5" thickTop="1" thickBot="1" x14ac:dyDescent="0.3">
      <c r="B14" s="294" t="s">
        <v>1243</v>
      </c>
      <c r="C14" s="321" t="s">
        <v>439</v>
      </c>
      <c r="D14" s="293" t="s">
        <v>158</v>
      </c>
      <c r="E14" s="293" t="s">
        <v>809</v>
      </c>
      <c r="F14" s="440" t="s">
        <v>160</v>
      </c>
      <c r="G14" s="440" t="s">
        <v>1441</v>
      </c>
      <c r="H14" s="293" t="s">
        <v>161</v>
      </c>
      <c r="I14" s="316" t="s">
        <v>1242</v>
      </c>
      <c r="J14" s="316" t="s">
        <v>1442</v>
      </c>
      <c r="K14" s="462" t="s">
        <v>439</v>
      </c>
      <c r="L14" s="293">
        <v>96819</v>
      </c>
      <c r="M14" s="293" t="s">
        <v>966</v>
      </c>
      <c r="N14" s="292" t="s">
        <v>966</v>
      </c>
      <c r="O14" s="262"/>
      <c r="P14" s="273" t="s">
        <v>271</v>
      </c>
      <c r="Q14" s="274" t="s">
        <v>272</v>
      </c>
      <c r="R14" s="269"/>
      <c r="S14" s="275" t="s">
        <v>835</v>
      </c>
      <c r="T14" s="276" t="s">
        <v>689</v>
      </c>
      <c r="U14" s="262"/>
      <c r="V14" s="267" t="s">
        <v>822</v>
      </c>
      <c r="W14" s="277" t="s">
        <v>270</v>
      </c>
      <c r="X14" s="310"/>
      <c r="Y14" s="386" t="s">
        <v>134</v>
      </c>
      <c r="Z14" s="380"/>
      <c r="AA14" s="374" t="s">
        <v>177</v>
      </c>
      <c r="AB14" s="376"/>
      <c r="AC14" s="380"/>
      <c r="AD14" s="204"/>
      <c r="AE14" s="204"/>
      <c r="AF14" s="204"/>
      <c r="AG14" s="204"/>
      <c r="AH14" s="204"/>
      <c r="AJ14" s="267" t="s">
        <v>246</v>
      </c>
      <c r="AL14" s="351">
        <v>12</v>
      </c>
      <c r="AM14" s="341" t="s">
        <v>891</v>
      </c>
      <c r="AN14" s="343" t="s">
        <v>1367</v>
      </c>
      <c r="AO14" s="341" t="s">
        <v>883</v>
      </c>
      <c r="AP14" s="348" t="s">
        <v>1486</v>
      </c>
      <c r="AQ14" s="348" t="s">
        <v>982</v>
      </c>
      <c r="AR14" s="348">
        <v>1</v>
      </c>
      <c r="AS14" s="348" t="s">
        <v>814</v>
      </c>
      <c r="AT14" s="348" t="s">
        <v>990</v>
      </c>
      <c r="AU14" s="349" t="s">
        <v>567</v>
      </c>
      <c r="AV14" s="348" t="s">
        <v>1357</v>
      </c>
      <c r="AW14" s="343" t="s">
        <v>890</v>
      </c>
      <c r="AX14" s="352">
        <v>80</v>
      </c>
      <c r="AY14" s="516" t="s">
        <v>1527</v>
      </c>
      <c r="AZ14" s="352" t="s">
        <v>966</v>
      </c>
      <c r="BA14" s="341" t="s">
        <v>545</v>
      </c>
      <c r="BB14" s="341" t="s">
        <v>995</v>
      </c>
      <c r="BC14" s="361" t="s">
        <v>184</v>
      </c>
      <c r="BD14" s="362" t="s">
        <v>996</v>
      </c>
      <c r="BE14" s="337" t="s">
        <v>860</v>
      </c>
      <c r="BF14" s="341" t="s">
        <v>807</v>
      </c>
      <c r="BG14" s="341" t="s">
        <v>806</v>
      </c>
      <c r="BH14" s="1">
        <v>20899</v>
      </c>
      <c r="BI14" s="352" t="s">
        <v>966</v>
      </c>
      <c r="BJ14" s="274"/>
    </row>
    <row r="15" spans="2:62" ht="15.75" thickBot="1" x14ac:dyDescent="0.3">
      <c r="B15" s="294" t="s">
        <v>1251</v>
      </c>
      <c r="C15" s="321" t="s">
        <v>443</v>
      </c>
      <c r="D15" s="293" t="s">
        <v>141</v>
      </c>
      <c r="E15" s="293" t="s">
        <v>809</v>
      </c>
      <c r="F15" s="440" t="s">
        <v>966</v>
      </c>
      <c r="G15" s="440" t="s">
        <v>966</v>
      </c>
      <c r="H15" s="293" t="s">
        <v>966</v>
      </c>
      <c r="I15" s="316" t="s">
        <v>1250</v>
      </c>
      <c r="J15" s="316" t="s">
        <v>966</v>
      </c>
      <c r="K15" s="462" t="s">
        <v>443</v>
      </c>
      <c r="L15" s="293" t="s">
        <v>966</v>
      </c>
      <c r="M15" s="293" t="s">
        <v>966</v>
      </c>
      <c r="N15" s="292" t="s">
        <v>966</v>
      </c>
      <c r="O15" s="262"/>
      <c r="P15" s="273" t="s">
        <v>274</v>
      </c>
      <c r="Q15" s="274" t="s">
        <v>275</v>
      </c>
      <c r="R15" s="269"/>
      <c r="S15" s="275" t="s">
        <v>836</v>
      </c>
      <c r="T15" s="276" t="s">
        <v>690</v>
      </c>
      <c r="U15" s="262"/>
      <c r="V15" s="267"/>
      <c r="W15" s="277" t="s">
        <v>273</v>
      </c>
      <c r="X15" s="310"/>
      <c r="Y15" s="381"/>
      <c r="Z15" s="380"/>
      <c r="AA15" s="374" t="s">
        <v>178</v>
      </c>
      <c r="AB15" s="376"/>
      <c r="AC15" s="380"/>
      <c r="AD15" s="346"/>
      <c r="AE15" s="346"/>
      <c r="AF15" s="346"/>
      <c r="AG15" s="346"/>
      <c r="AH15" s="346"/>
      <c r="AJ15" s="267"/>
      <c r="AL15" s="351">
        <v>13</v>
      </c>
      <c r="AM15" s="341" t="s">
        <v>892</v>
      </c>
      <c r="AN15" s="343" t="s">
        <v>1367</v>
      </c>
      <c r="AO15" s="341" t="s">
        <v>883</v>
      </c>
      <c r="AP15" s="348" t="s">
        <v>1486</v>
      </c>
      <c r="AQ15" s="348" t="s">
        <v>982</v>
      </c>
      <c r="AR15" s="348">
        <v>1</v>
      </c>
      <c r="AS15" s="348" t="s">
        <v>814</v>
      </c>
      <c r="AT15" s="348" t="s">
        <v>990</v>
      </c>
      <c r="AU15" s="349" t="s">
        <v>567</v>
      </c>
      <c r="AV15" s="348" t="s">
        <v>1357</v>
      </c>
      <c r="AW15" s="343" t="s">
        <v>890</v>
      </c>
      <c r="AX15" s="352">
        <v>80</v>
      </c>
      <c r="AY15" s="516" t="s">
        <v>1527</v>
      </c>
      <c r="AZ15" s="352" t="s">
        <v>966</v>
      </c>
      <c r="BA15" s="341" t="s">
        <v>545</v>
      </c>
      <c r="BB15" s="341" t="s">
        <v>995</v>
      </c>
      <c r="BC15" s="361" t="s">
        <v>184</v>
      </c>
      <c r="BD15" s="362" t="s">
        <v>996</v>
      </c>
      <c r="BE15" s="337" t="s">
        <v>860</v>
      </c>
      <c r="BF15" s="341" t="s">
        <v>807</v>
      </c>
      <c r="BG15" s="341" t="s">
        <v>806</v>
      </c>
      <c r="BH15" s="1">
        <v>20899</v>
      </c>
      <c r="BI15" s="352" t="s">
        <v>966</v>
      </c>
      <c r="BJ15" s="274"/>
    </row>
    <row r="16" spans="2:62" ht="16.5" thickTop="1" thickBot="1" x14ac:dyDescent="0.3">
      <c r="B16" s="294" t="s">
        <v>1245</v>
      </c>
      <c r="C16" s="321" t="s">
        <v>440</v>
      </c>
      <c r="D16" s="293" t="s">
        <v>158</v>
      </c>
      <c r="E16" s="293" t="s">
        <v>809</v>
      </c>
      <c r="F16" s="440" t="s">
        <v>1488</v>
      </c>
      <c r="G16" s="440" t="s">
        <v>1489</v>
      </c>
      <c r="H16" s="293" t="s">
        <v>1490</v>
      </c>
      <c r="I16" s="316" t="s">
        <v>1244</v>
      </c>
      <c r="J16" s="316" t="s">
        <v>1491</v>
      </c>
      <c r="K16" s="462" t="s">
        <v>440</v>
      </c>
      <c r="L16" s="293">
        <v>83712</v>
      </c>
      <c r="M16" s="293" t="s">
        <v>966</v>
      </c>
      <c r="N16" s="292" t="s">
        <v>966</v>
      </c>
      <c r="O16" s="267"/>
      <c r="P16" s="273" t="s">
        <v>277</v>
      </c>
      <c r="Q16" s="274" t="s">
        <v>278</v>
      </c>
      <c r="R16" s="269"/>
      <c r="S16" s="275" t="s">
        <v>837</v>
      </c>
      <c r="T16" s="276" t="s">
        <v>691</v>
      </c>
      <c r="U16" s="262"/>
      <c r="V16" s="267"/>
      <c r="W16" s="277" t="s">
        <v>276</v>
      </c>
      <c r="X16" s="310"/>
      <c r="Y16" s="382" t="s">
        <v>139</v>
      </c>
      <c r="Z16" s="380"/>
      <c r="AA16" s="374" t="s">
        <v>179</v>
      </c>
      <c r="AB16" s="376"/>
      <c r="AC16" s="380"/>
      <c r="AD16" s="402" t="s">
        <v>1004</v>
      </c>
      <c r="AE16" s="204"/>
      <c r="AF16" s="334"/>
      <c r="AG16" s="503"/>
      <c r="AH16" s="204"/>
      <c r="AJ16" s="306"/>
      <c r="AL16" s="351">
        <v>14</v>
      </c>
      <c r="AM16" s="341" t="s">
        <v>893</v>
      </c>
      <c r="AN16" s="343" t="s">
        <v>1367</v>
      </c>
      <c r="AO16" s="341" t="s">
        <v>883</v>
      </c>
      <c r="AP16" s="348" t="s">
        <v>1486</v>
      </c>
      <c r="AQ16" s="348" t="s">
        <v>982</v>
      </c>
      <c r="AR16" s="348">
        <v>1</v>
      </c>
      <c r="AS16" s="348" t="s">
        <v>814</v>
      </c>
      <c r="AT16" s="348" t="s">
        <v>990</v>
      </c>
      <c r="AU16" s="349" t="s">
        <v>567</v>
      </c>
      <c r="AV16" s="348" t="s">
        <v>1357</v>
      </c>
      <c r="AW16" s="343" t="s">
        <v>890</v>
      </c>
      <c r="AX16" s="352">
        <v>80</v>
      </c>
      <c r="AY16" s="516" t="s">
        <v>1527</v>
      </c>
      <c r="AZ16" s="352" t="s">
        <v>966</v>
      </c>
      <c r="BA16" s="341" t="s">
        <v>545</v>
      </c>
      <c r="BB16" s="341" t="s">
        <v>995</v>
      </c>
      <c r="BC16" s="361" t="s">
        <v>184</v>
      </c>
      <c r="BD16" s="362" t="s">
        <v>996</v>
      </c>
      <c r="BE16" s="337" t="s">
        <v>860</v>
      </c>
      <c r="BF16" s="341" t="s">
        <v>807</v>
      </c>
      <c r="BG16" s="341" t="s">
        <v>806</v>
      </c>
      <c r="BH16" s="1">
        <v>20899</v>
      </c>
      <c r="BI16" s="352" t="s">
        <v>966</v>
      </c>
      <c r="BJ16" s="274"/>
    </row>
    <row r="17" spans="2:62" ht="16.5" thickTop="1" thickBot="1" x14ac:dyDescent="0.3">
      <c r="B17" s="294" t="s">
        <v>1247</v>
      </c>
      <c r="C17" s="321" t="s">
        <v>441</v>
      </c>
      <c r="D17" s="293" t="s">
        <v>141</v>
      </c>
      <c r="E17" s="293" t="s">
        <v>809</v>
      </c>
      <c r="F17" s="440" t="s">
        <v>1098</v>
      </c>
      <c r="G17" s="440" t="s">
        <v>1099</v>
      </c>
      <c r="H17" s="293" t="s">
        <v>1100</v>
      </c>
      <c r="I17" s="316" t="s">
        <v>1246</v>
      </c>
      <c r="J17" s="316" t="s">
        <v>1101</v>
      </c>
      <c r="K17" s="462" t="s">
        <v>441</v>
      </c>
      <c r="L17" s="293">
        <v>62702</v>
      </c>
      <c r="M17" s="293" t="s">
        <v>966</v>
      </c>
      <c r="N17" s="292" t="s">
        <v>966</v>
      </c>
      <c r="O17" s="267"/>
      <c r="P17" s="273" t="s">
        <v>280</v>
      </c>
      <c r="Q17" s="274" t="s">
        <v>281</v>
      </c>
      <c r="R17" s="269"/>
      <c r="S17" s="275" t="s">
        <v>838</v>
      </c>
      <c r="T17" s="276" t="s">
        <v>692</v>
      </c>
      <c r="U17" s="262"/>
      <c r="V17" s="267"/>
      <c r="W17" s="277" t="s">
        <v>279</v>
      </c>
      <c r="X17" s="310"/>
      <c r="Y17" s="382" t="s">
        <v>144</v>
      </c>
      <c r="Z17" s="380"/>
      <c r="AA17" s="374" t="s">
        <v>180</v>
      </c>
      <c r="AB17" s="376"/>
      <c r="AC17" s="380"/>
      <c r="AD17" s="403" t="s">
        <v>104</v>
      </c>
      <c r="AE17" s="404" t="s">
        <v>106</v>
      </c>
      <c r="AF17" s="405" t="s">
        <v>107</v>
      </c>
      <c r="AG17" s="504"/>
      <c r="AH17" s="404" t="s">
        <v>105</v>
      </c>
      <c r="AJ17" s="262"/>
      <c r="AL17" s="351">
        <v>15</v>
      </c>
      <c r="AM17" s="341" t="s">
        <v>894</v>
      </c>
      <c r="AN17" s="343" t="s">
        <v>1367</v>
      </c>
      <c r="AO17" s="341" t="s">
        <v>883</v>
      </c>
      <c r="AP17" s="348" t="s">
        <v>1486</v>
      </c>
      <c r="AQ17" s="348" t="s">
        <v>982</v>
      </c>
      <c r="AR17" s="348">
        <v>1</v>
      </c>
      <c r="AS17" s="348" t="s">
        <v>814</v>
      </c>
      <c r="AT17" s="348" t="s">
        <v>990</v>
      </c>
      <c r="AU17" s="349" t="s">
        <v>567</v>
      </c>
      <c r="AV17" s="348" t="s">
        <v>1357</v>
      </c>
      <c r="AW17" s="343" t="s">
        <v>890</v>
      </c>
      <c r="AX17" s="352">
        <v>80</v>
      </c>
      <c r="AY17" s="516" t="s">
        <v>1527</v>
      </c>
      <c r="AZ17" s="352" t="s">
        <v>966</v>
      </c>
      <c r="BA17" s="341" t="s">
        <v>545</v>
      </c>
      <c r="BB17" s="341" t="s">
        <v>995</v>
      </c>
      <c r="BC17" s="361" t="s">
        <v>184</v>
      </c>
      <c r="BD17" s="362" t="s">
        <v>996</v>
      </c>
      <c r="BE17" s="337" t="s">
        <v>860</v>
      </c>
      <c r="BF17" s="341" t="s">
        <v>807</v>
      </c>
      <c r="BG17" s="341" t="s">
        <v>806</v>
      </c>
      <c r="BH17" s="1">
        <v>20899</v>
      </c>
      <c r="BI17" s="352" t="s">
        <v>966</v>
      </c>
      <c r="BJ17" s="274"/>
    </row>
    <row r="18" spans="2:62" ht="15.75" thickTop="1" x14ac:dyDescent="0.25">
      <c r="B18" s="294" t="s">
        <v>1248</v>
      </c>
      <c r="C18" s="321" t="s">
        <v>442</v>
      </c>
      <c r="D18" s="293" t="s">
        <v>141</v>
      </c>
      <c r="E18" s="293" t="s">
        <v>809</v>
      </c>
      <c r="F18" s="440" t="s">
        <v>1102</v>
      </c>
      <c r="G18" s="440" t="s">
        <v>1103</v>
      </c>
      <c r="H18" s="293" t="s">
        <v>1104</v>
      </c>
      <c r="I18" s="316" t="s">
        <v>1249</v>
      </c>
      <c r="J18" s="316" t="s">
        <v>1078</v>
      </c>
      <c r="K18" s="462" t="s">
        <v>442</v>
      </c>
      <c r="L18" s="293">
        <v>46219</v>
      </c>
      <c r="M18" s="293" t="s">
        <v>966</v>
      </c>
      <c r="N18" s="292" t="s">
        <v>966</v>
      </c>
      <c r="O18" s="267"/>
      <c r="P18" s="273" t="s">
        <v>283</v>
      </c>
      <c r="Q18" s="274" t="s">
        <v>284</v>
      </c>
      <c r="R18" s="269"/>
      <c r="S18" s="275" t="s">
        <v>839</v>
      </c>
      <c r="T18" s="276" t="s">
        <v>693</v>
      </c>
      <c r="U18" s="262"/>
      <c r="V18" s="267"/>
      <c r="W18" s="277" t="s">
        <v>282</v>
      </c>
      <c r="X18" s="310"/>
      <c r="Y18" s="382" t="s">
        <v>150</v>
      </c>
      <c r="Z18" s="380"/>
      <c r="AA18" s="374" t="s">
        <v>182</v>
      </c>
      <c r="AB18" s="376"/>
      <c r="AC18" s="380"/>
      <c r="AD18" s="422" t="s">
        <v>183</v>
      </c>
      <c r="AE18" s="389" t="s">
        <v>184</v>
      </c>
      <c r="AF18" s="392" t="s">
        <v>185</v>
      </c>
      <c r="AG18" s="204"/>
      <c r="AH18" s="27" t="s">
        <v>1002</v>
      </c>
      <c r="AJ18" s="307" t="s">
        <v>240</v>
      </c>
      <c r="AL18" s="351">
        <v>16</v>
      </c>
      <c r="AM18" s="341" t="s">
        <v>895</v>
      </c>
      <c r="AN18" s="343" t="s">
        <v>870</v>
      </c>
      <c r="AO18" s="341" t="s">
        <v>1355</v>
      </c>
      <c r="AP18" s="348" t="s">
        <v>977</v>
      </c>
      <c r="AQ18" s="348" t="s">
        <v>871</v>
      </c>
      <c r="AR18" s="348">
        <v>34</v>
      </c>
      <c r="AS18" s="348" t="s">
        <v>812</v>
      </c>
      <c r="AT18" s="348" t="s">
        <v>990</v>
      </c>
      <c r="AU18" s="349" t="s">
        <v>1385</v>
      </c>
      <c r="AV18" s="348" t="s">
        <v>567</v>
      </c>
      <c r="AW18" s="343" t="s">
        <v>873</v>
      </c>
      <c r="AX18" s="352">
        <v>60</v>
      </c>
      <c r="AY18" s="352" t="s">
        <v>567</v>
      </c>
      <c r="AZ18" s="352" t="s">
        <v>966</v>
      </c>
      <c r="BA18" s="341" t="s">
        <v>545</v>
      </c>
      <c r="BB18" s="341" t="s">
        <v>995</v>
      </c>
      <c r="BC18" s="361" t="s">
        <v>184</v>
      </c>
      <c r="BD18" s="362" t="s">
        <v>996</v>
      </c>
      <c r="BE18" s="337" t="s">
        <v>860</v>
      </c>
      <c r="BF18" s="341" t="s">
        <v>807</v>
      </c>
      <c r="BG18" s="341" t="s">
        <v>806</v>
      </c>
      <c r="BH18" s="1">
        <v>20899</v>
      </c>
      <c r="BI18" s="352" t="s">
        <v>966</v>
      </c>
      <c r="BJ18" s="274"/>
    </row>
    <row r="19" spans="2:62" x14ac:dyDescent="0.25">
      <c r="B19" s="294" t="s">
        <v>1253</v>
      </c>
      <c r="C19" s="321" t="s">
        <v>444</v>
      </c>
      <c r="D19" s="293" t="s">
        <v>154</v>
      </c>
      <c r="E19" s="293" t="s">
        <v>809</v>
      </c>
      <c r="F19" s="440" t="s">
        <v>1431</v>
      </c>
      <c r="G19" s="440" t="s">
        <v>1432</v>
      </c>
      <c r="H19" s="293" t="s">
        <v>1105</v>
      </c>
      <c r="I19" s="316" t="s">
        <v>1252</v>
      </c>
      <c r="J19" s="316" t="s">
        <v>1106</v>
      </c>
      <c r="K19" s="462" t="s">
        <v>444</v>
      </c>
      <c r="L19" s="293">
        <v>66502</v>
      </c>
      <c r="M19" s="293" t="s">
        <v>966</v>
      </c>
      <c r="N19" s="292" t="s">
        <v>966</v>
      </c>
      <c r="O19" s="267"/>
      <c r="P19" s="273" t="s">
        <v>286</v>
      </c>
      <c r="Q19" s="274" t="s">
        <v>287</v>
      </c>
      <c r="R19" s="269"/>
      <c r="S19" s="275" t="s">
        <v>840</v>
      </c>
      <c r="T19" s="276" t="s">
        <v>694</v>
      </c>
      <c r="U19" s="262"/>
      <c r="V19" s="267"/>
      <c r="W19" s="277" t="s">
        <v>285</v>
      </c>
      <c r="X19" s="310"/>
      <c r="Y19" s="382" t="s">
        <v>153</v>
      </c>
      <c r="Z19" s="380"/>
      <c r="AA19" s="374"/>
      <c r="AB19" s="376"/>
      <c r="AC19" s="380"/>
      <c r="AD19" s="319" t="s">
        <v>186</v>
      </c>
      <c r="AE19" s="390" t="s">
        <v>187</v>
      </c>
      <c r="AF19" s="392" t="s">
        <v>188</v>
      </c>
      <c r="AG19" s="204"/>
      <c r="AH19" s="27" t="s">
        <v>1002</v>
      </c>
      <c r="AJ19" s="267" t="s">
        <v>241</v>
      </c>
      <c r="AL19" s="351">
        <v>17</v>
      </c>
      <c r="AM19" s="341" t="s">
        <v>896</v>
      </c>
      <c r="AN19" s="343" t="s">
        <v>1374</v>
      </c>
      <c r="AO19" s="341" t="s">
        <v>1355</v>
      </c>
      <c r="AP19" s="348" t="s">
        <v>1027</v>
      </c>
      <c r="AQ19" s="348" t="s">
        <v>989</v>
      </c>
      <c r="AR19" s="348">
        <v>21</v>
      </c>
      <c r="AS19" s="348"/>
      <c r="AT19" s="348" t="s">
        <v>966</v>
      </c>
      <c r="AU19" s="519" t="s">
        <v>1562</v>
      </c>
      <c r="AV19" s="348" t="s">
        <v>567</v>
      </c>
      <c r="AW19" s="343" t="s">
        <v>897</v>
      </c>
      <c r="AX19" s="352">
        <v>30</v>
      </c>
      <c r="AY19" s="352" t="s">
        <v>567</v>
      </c>
      <c r="AZ19" s="352" t="s">
        <v>966</v>
      </c>
      <c r="BA19" s="341" t="s">
        <v>545</v>
      </c>
      <c r="BB19" s="341" t="s">
        <v>995</v>
      </c>
      <c r="BC19" s="361" t="s">
        <v>184</v>
      </c>
      <c r="BD19" s="362" t="s">
        <v>996</v>
      </c>
      <c r="BE19" s="337" t="s">
        <v>860</v>
      </c>
      <c r="BF19" s="341" t="s">
        <v>807</v>
      </c>
      <c r="BG19" s="341" t="s">
        <v>806</v>
      </c>
      <c r="BH19" s="1">
        <v>20899</v>
      </c>
      <c r="BI19" s="352" t="s">
        <v>966</v>
      </c>
      <c r="BJ19" s="274"/>
    </row>
    <row r="20" spans="2:62" ht="15.75" thickBot="1" x14ac:dyDescent="0.3">
      <c r="B20" s="294" t="s">
        <v>1255</v>
      </c>
      <c r="C20" s="321" t="s">
        <v>445</v>
      </c>
      <c r="D20" s="293" t="s">
        <v>151</v>
      </c>
      <c r="E20" s="293" t="s">
        <v>809</v>
      </c>
      <c r="F20" s="440" t="s">
        <v>1433</v>
      </c>
      <c r="G20" s="440" t="s">
        <v>1434</v>
      </c>
      <c r="H20" s="293" t="s">
        <v>1130</v>
      </c>
      <c r="I20" s="316" t="s">
        <v>1254</v>
      </c>
      <c r="J20" s="316" t="s">
        <v>1436</v>
      </c>
      <c r="K20" s="462" t="s">
        <v>445</v>
      </c>
      <c r="L20" s="293" t="s">
        <v>1435</v>
      </c>
      <c r="M20" s="293" t="s">
        <v>966</v>
      </c>
      <c r="N20" s="292" t="s">
        <v>966</v>
      </c>
      <c r="O20" s="262"/>
      <c r="P20" s="273" t="s">
        <v>288</v>
      </c>
      <c r="Q20" s="274" t="s">
        <v>289</v>
      </c>
      <c r="R20" s="269"/>
      <c r="S20" s="275" t="s">
        <v>841</v>
      </c>
      <c r="T20" s="276" t="s">
        <v>695</v>
      </c>
      <c r="U20" s="262"/>
      <c r="V20" s="267"/>
      <c r="W20" s="277" t="s">
        <v>696</v>
      </c>
      <c r="X20" s="310"/>
      <c r="Y20" s="382" t="s">
        <v>157</v>
      </c>
      <c r="Z20" s="380"/>
      <c r="AA20" s="375"/>
      <c r="AB20" s="377"/>
      <c r="AC20" s="380"/>
      <c r="AD20" s="319" t="s">
        <v>1003</v>
      </c>
      <c r="AE20" s="390" t="s">
        <v>1000</v>
      </c>
      <c r="AF20" s="392" t="s">
        <v>1001</v>
      </c>
      <c r="AG20" s="204"/>
      <c r="AH20" s="27" t="s">
        <v>1002</v>
      </c>
      <c r="AJ20" s="267"/>
      <c r="AL20" s="351">
        <v>18</v>
      </c>
      <c r="AM20" s="341" t="s">
        <v>898</v>
      </c>
      <c r="AN20" s="343" t="s">
        <v>1375</v>
      </c>
      <c r="AO20" s="341" t="s">
        <v>1355</v>
      </c>
      <c r="AP20" s="348" t="s">
        <v>966</v>
      </c>
      <c r="AQ20" s="348" t="s">
        <v>987</v>
      </c>
      <c r="AR20" s="348">
        <v>2</v>
      </c>
      <c r="AS20" s="348" t="s">
        <v>811</v>
      </c>
      <c r="AT20" s="348" t="s">
        <v>966</v>
      </c>
      <c r="AU20" s="349" t="s">
        <v>1383</v>
      </c>
      <c r="AV20" s="348" t="s">
        <v>567</v>
      </c>
      <c r="AW20" s="343" t="s">
        <v>899</v>
      </c>
      <c r="AX20" s="352">
        <v>30</v>
      </c>
      <c r="AY20" s="352" t="s">
        <v>567</v>
      </c>
      <c r="AZ20" s="352" t="s">
        <v>966</v>
      </c>
      <c r="BA20" s="341" t="s">
        <v>545</v>
      </c>
      <c r="BB20" s="341" t="s">
        <v>995</v>
      </c>
      <c r="BC20" s="361" t="s">
        <v>184</v>
      </c>
      <c r="BD20" s="362" t="s">
        <v>996</v>
      </c>
      <c r="BE20" s="337" t="s">
        <v>860</v>
      </c>
      <c r="BF20" s="341" t="s">
        <v>807</v>
      </c>
      <c r="BG20" s="341" t="s">
        <v>806</v>
      </c>
      <c r="BH20" s="1">
        <v>20899</v>
      </c>
      <c r="BI20" s="352" t="s">
        <v>966</v>
      </c>
      <c r="BJ20" s="274"/>
    </row>
    <row r="21" spans="2:62" ht="16.5" thickTop="1" thickBot="1" x14ac:dyDescent="0.3">
      <c r="B21" s="294" t="s">
        <v>1257</v>
      </c>
      <c r="C21" s="321" t="s">
        <v>446</v>
      </c>
      <c r="D21" s="293" t="s">
        <v>154</v>
      </c>
      <c r="E21" s="293" t="s">
        <v>809</v>
      </c>
      <c r="F21" s="440" t="s">
        <v>1107</v>
      </c>
      <c r="G21" s="440" t="s">
        <v>1108</v>
      </c>
      <c r="H21" s="293" t="s">
        <v>1109</v>
      </c>
      <c r="I21" s="316" t="s">
        <v>1256</v>
      </c>
      <c r="J21" s="316" t="s">
        <v>1110</v>
      </c>
      <c r="K21" s="462" t="s">
        <v>446</v>
      </c>
      <c r="L21" s="293" t="s">
        <v>1111</v>
      </c>
      <c r="M21" s="293" t="s">
        <v>966</v>
      </c>
      <c r="N21" s="292" t="s">
        <v>966</v>
      </c>
      <c r="O21" s="262"/>
      <c r="P21" s="273" t="s">
        <v>290</v>
      </c>
      <c r="Q21" s="274" t="s">
        <v>291</v>
      </c>
      <c r="R21" s="269"/>
      <c r="S21" s="275" t="s">
        <v>842</v>
      </c>
      <c r="T21" s="276" t="s">
        <v>697</v>
      </c>
      <c r="U21" s="262"/>
      <c r="V21" s="267"/>
      <c r="W21" s="277" t="s">
        <v>698</v>
      </c>
      <c r="X21" s="310"/>
      <c r="Y21" s="382"/>
      <c r="Z21" s="380"/>
      <c r="AA21" s="380"/>
      <c r="AB21" s="380"/>
      <c r="AC21" s="380"/>
      <c r="AD21" s="319"/>
      <c r="AE21" s="388"/>
      <c r="AF21" s="392"/>
      <c r="AG21" s="204"/>
      <c r="AH21" s="27"/>
      <c r="AJ21" s="306"/>
      <c r="AL21" s="351">
        <v>19</v>
      </c>
      <c r="AM21" s="341" t="s">
        <v>900</v>
      </c>
      <c r="AN21" s="343" t="s">
        <v>1367</v>
      </c>
      <c r="AO21" s="341" t="s">
        <v>883</v>
      </c>
      <c r="AP21" s="348" t="s">
        <v>1486</v>
      </c>
      <c r="AQ21" s="348" t="s">
        <v>982</v>
      </c>
      <c r="AR21" s="348">
        <v>1</v>
      </c>
      <c r="AS21" s="348" t="s">
        <v>814</v>
      </c>
      <c r="AT21" s="348" t="s">
        <v>990</v>
      </c>
      <c r="AU21" s="349" t="s">
        <v>567</v>
      </c>
      <c r="AV21" s="348" t="s">
        <v>1357</v>
      </c>
      <c r="AW21" s="343" t="s">
        <v>890</v>
      </c>
      <c r="AX21" s="352">
        <v>80</v>
      </c>
      <c r="AY21" s="352" t="s">
        <v>567</v>
      </c>
      <c r="AZ21" s="352" t="s">
        <v>966</v>
      </c>
      <c r="BA21" s="341" t="s">
        <v>545</v>
      </c>
      <c r="BB21" s="341" t="s">
        <v>995</v>
      </c>
      <c r="BC21" s="361" t="s">
        <v>184</v>
      </c>
      <c r="BD21" s="362" t="s">
        <v>996</v>
      </c>
      <c r="BE21" s="337" t="s">
        <v>860</v>
      </c>
      <c r="BF21" s="341" t="s">
        <v>807</v>
      </c>
      <c r="BG21" s="341" t="s">
        <v>806</v>
      </c>
      <c r="BH21" s="1">
        <v>20899</v>
      </c>
      <c r="BI21" s="352" t="s">
        <v>966</v>
      </c>
      <c r="BJ21" s="274"/>
    </row>
    <row r="22" spans="2:62" ht="16.5" thickTop="1" thickBot="1" x14ac:dyDescent="0.3">
      <c r="B22" s="294" t="s">
        <v>1259</v>
      </c>
      <c r="C22" s="321" t="s">
        <v>449</v>
      </c>
      <c r="D22" s="293" t="s">
        <v>681</v>
      </c>
      <c r="E22" s="293" t="s">
        <v>809</v>
      </c>
      <c r="F22" s="440" t="s">
        <v>1119</v>
      </c>
      <c r="G22" s="440" t="s">
        <v>1120</v>
      </c>
      <c r="H22" s="293" t="s">
        <v>1121</v>
      </c>
      <c r="I22" s="316" t="s">
        <v>1258</v>
      </c>
      <c r="J22" s="316" t="s">
        <v>1122</v>
      </c>
      <c r="K22" s="462" t="s">
        <v>449</v>
      </c>
      <c r="L22" s="293">
        <v>1721</v>
      </c>
      <c r="M22" s="293" t="s">
        <v>966</v>
      </c>
      <c r="N22" s="292" t="s">
        <v>966</v>
      </c>
      <c r="O22" s="262"/>
      <c r="P22" s="273" t="s">
        <v>292</v>
      </c>
      <c r="Q22" s="274" t="s">
        <v>293</v>
      </c>
      <c r="R22" s="269"/>
      <c r="S22" s="275" t="s">
        <v>843</v>
      </c>
      <c r="T22" s="276" t="s">
        <v>699</v>
      </c>
      <c r="U22" s="262"/>
      <c r="V22" s="267"/>
      <c r="W22" s="277" t="s">
        <v>700</v>
      </c>
      <c r="X22" s="310"/>
      <c r="Y22" s="383"/>
      <c r="Z22" s="380"/>
      <c r="AA22" s="380"/>
      <c r="AB22" s="380"/>
      <c r="AC22" s="380"/>
      <c r="AD22" s="397"/>
      <c r="AE22" s="391"/>
      <c r="AF22" s="393"/>
      <c r="AG22" s="391"/>
      <c r="AH22" s="391"/>
      <c r="AJ22" s="262"/>
      <c r="AL22" s="351">
        <v>20</v>
      </c>
      <c r="AM22" s="341" t="s">
        <v>901</v>
      </c>
      <c r="AN22" s="343" t="s">
        <v>1366</v>
      </c>
      <c r="AO22" s="341" t="s">
        <v>1355</v>
      </c>
      <c r="AP22" s="348" t="s">
        <v>1027</v>
      </c>
      <c r="AQ22" s="348" t="s">
        <v>989</v>
      </c>
      <c r="AR22" s="348">
        <v>21</v>
      </c>
      <c r="AS22" s="348" t="s">
        <v>820</v>
      </c>
      <c r="AT22" s="348" t="s">
        <v>990</v>
      </c>
      <c r="AU22" s="519" t="s">
        <v>1562</v>
      </c>
      <c r="AV22" s="348" t="s">
        <v>567</v>
      </c>
      <c r="AW22" s="343" t="s">
        <v>897</v>
      </c>
      <c r="AX22" s="352">
        <v>30</v>
      </c>
      <c r="AY22" s="352" t="s">
        <v>567</v>
      </c>
      <c r="AZ22" s="352" t="s">
        <v>966</v>
      </c>
      <c r="BA22" s="341" t="s">
        <v>545</v>
      </c>
      <c r="BB22" s="341" t="s">
        <v>995</v>
      </c>
      <c r="BC22" s="361" t="s">
        <v>184</v>
      </c>
      <c r="BD22" s="362" t="s">
        <v>996</v>
      </c>
      <c r="BE22" s="337" t="s">
        <v>860</v>
      </c>
      <c r="BF22" s="341" t="s">
        <v>807</v>
      </c>
      <c r="BG22" s="341" t="s">
        <v>806</v>
      </c>
      <c r="BH22" s="1">
        <v>20899</v>
      </c>
      <c r="BI22" s="352" t="s">
        <v>966</v>
      </c>
      <c r="BJ22" s="274"/>
    </row>
    <row r="23" spans="2:62" ht="16.5" thickTop="1" thickBot="1" x14ac:dyDescent="0.3">
      <c r="B23" s="294" t="s">
        <v>1261</v>
      </c>
      <c r="C23" s="321" t="s">
        <v>448</v>
      </c>
      <c r="D23" s="293" t="s">
        <v>151</v>
      </c>
      <c r="E23" s="293" t="s">
        <v>809</v>
      </c>
      <c r="F23" s="440" t="s">
        <v>1114</v>
      </c>
      <c r="G23" s="440" t="s">
        <v>1115</v>
      </c>
      <c r="H23" s="293" t="s">
        <v>1116</v>
      </c>
      <c r="I23" s="316" t="s">
        <v>1260</v>
      </c>
      <c r="J23" s="316" t="s">
        <v>1117</v>
      </c>
      <c r="K23" s="462" t="s">
        <v>448</v>
      </c>
      <c r="L23" s="293" t="s">
        <v>1118</v>
      </c>
      <c r="M23" s="293" t="s">
        <v>966</v>
      </c>
      <c r="N23" s="292" t="s">
        <v>966</v>
      </c>
      <c r="O23" s="262"/>
      <c r="P23" s="273" t="s">
        <v>294</v>
      </c>
      <c r="Q23" s="274" t="s">
        <v>295</v>
      </c>
      <c r="R23" s="269"/>
      <c r="S23" s="275" t="s">
        <v>844</v>
      </c>
      <c r="T23" s="276" t="s">
        <v>701</v>
      </c>
      <c r="U23" s="262"/>
      <c r="V23" s="267"/>
      <c r="W23" s="277" t="s">
        <v>702</v>
      </c>
      <c r="X23" s="310"/>
      <c r="Y23" s="370"/>
      <c r="Z23" s="380"/>
      <c r="AA23" s="380"/>
      <c r="AB23" s="380"/>
      <c r="AC23" s="380"/>
      <c r="AD23" s="397"/>
      <c r="AE23" s="391"/>
      <c r="AF23" s="393"/>
      <c r="AG23" s="391"/>
      <c r="AH23" s="391"/>
      <c r="AJ23" s="307" t="s">
        <v>237</v>
      </c>
      <c r="AL23" s="351">
        <v>21</v>
      </c>
      <c r="AM23" s="341" t="s">
        <v>902</v>
      </c>
      <c r="AN23" s="343" t="s">
        <v>1366</v>
      </c>
      <c r="AO23" s="341" t="s">
        <v>1355</v>
      </c>
      <c r="AP23" s="348" t="s">
        <v>1027</v>
      </c>
      <c r="AQ23" s="348" t="s">
        <v>989</v>
      </c>
      <c r="AR23" s="348">
        <v>21</v>
      </c>
      <c r="AS23" s="348" t="s">
        <v>820</v>
      </c>
      <c r="AT23" s="348" t="s">
        <v>990</v>
      </c>
      <c r="AU23" s="519" t="s">
        <v>1562</v>
      </c>
      <c r="AV23" s="348" t="s">
        <v>567</v>
      </c>
      <c r="AW23" s="343" t="s">
        <v>897</v>
      </c>
      <c r="AX23" s="352">
        <v>30</v>
      </c>
      <c r="AY23" s="352" t="s">
        <v>567</v>
      </c>
      <c r="AZ23" s="352" t="s">
        <v>966</v>
      </c>
      <c r="BA23" s="341" t="s">
        <v>545</v>
      </c>
      <c r="BB23" s="341" t="s">
        <v>995</v>
      </c>
      <c r="BC23" s="361" t="s">
        <v>184</v>
      </c>
      <c r="BD23" s="362" t="s">
        <v>996</v>
      </c>
      <c r="BE23" s="337" t="s">
        <v>860</v>
      </c>
      <c r="BF23" s="341" t="s">
        <v>807</v>
      </c>
      <c r="BG23" s="341" t="s">
        <v>806</v>
      </c>
      <c r="BH23" s="1">
        <v>20899</v>
      </c>
      <c r="BI23" s="352" t="s">
        <v>966</v>
      </c>
      <c r="BJ23" s="274"/>
    </row>
    <row r="24" spans="2:62" ht="16.5" thickTop="1" thickBot="1" x14ac:dyDescent="0.3">
      <c r="B24" s="294" t="s">
        <v>1263</v>
      </c>
      <c r="C24" s="321" t="s">
        <v>447</v>
      </c>
      <c r="D24" s="293" t="s">
        <v>145</v>
      </c>
      <c r="E24" s="293" t="s">
        <v>809</v>
      </c>
      <c r="F24" s="440" t="s">
        <v>147</v>
      </c>
      <c r="G24" s="440" t="s">
        <v>1112</v>
      </c>
      <c r="H24" s="293" t="s">
        <v>149</v>
      </c>
      <c r="I24" s="316" t="s">
        <v>1262</v>
      </c>
      <c r="J24" s="316" t="s">
        <v>1113</v>
      </c>
      <c r="K24" s="462" t="s">
        <v>447</v>
      </c>
      <c r="L24" s="293">
        <v>4330</v>
      </c>
      <c r="M24" s="293" t="s">
        <v>966</v>
      </c>
      <c r="N24" s="292" t="s">
        <v>966</v>
      </c>
      <c r="O24" s="262"/>
      <c r="P24" s="273" t="s">
        <v>296</v>
      </c>
      <c r="Q24" s="274" t="s">
        <v>297</v>
      </c>
      <c r="R24" s="269"/>
      <c r="S24" s="275" t="s">
        <v>845</v>
      </c>
      <c r="T24" s="276" t="s">
        <v>703</v>
      </c>
      <c r="U24" s="262"/>
      <c r="V24" s="267"/>
      <c r="W24" s="277" t="s">
        <v>704</v>
      </c>
      <c r="X24" s="310"/>
      <c r="Y24" s="386" t="s">
        <v>133</v>
      </c>
      <c r="Z24" s="380"/>
      <c r="AA24" s="431" t="s">
        <v>125</v>
      </c>
      <c r="AB24" s="380"/>
      <c r="AC24" s="376"/>
      <c r="AD24" s="391"/>
      <c r="AE24" s="391"/>
      <c r="AF24" s="393"/>
      <c r="AG24" s="391"/>
      <c r="AH24" s="391"/>
      <c r="AJ24" s="267" t="s">
        <v>238</v>
      </c>
      <c r="AL24" s="351">
        <v>22</v>
      </c>
      <c r="AM24" s="341" t="s">
        <v>903</v>
      </c>
      <c r="AN24" s="343" t="s">
        <v>1366</v>
      </c>
      <c r="AO24" s="341" t="s">
        <v>1355</v>
      </c>
      <c r="AP24" s="348" t="s">
        <v>1027</v>
      </c>
      <c r="AQ24" s="348" t="s">
        <v>989</v>
      </c>
      <c r="AR24" s="348">
        <v>21</v>
      </c>
      <c r="AS24" s="348" t="s">
        <v>820</v>
      </c>
      <c r="AT24" s="348" t="s">
        <v>990</v>
      </c>
      <c r="AU24" s="519" t="s">
        <v>1562</v>
      </c>
      <c r="AV24" s="348" t="s">
        <v>567</v>
      </c>
      <c r="AW24" s="343" t="s">
        <v>897</v>
      </c>
      <c r="AX24" s="352">
        <v>30</v>
      </c>
      <c r="AY24" s="352" t="s">
        <v>567</v>
      </c>
      <c r="AZ24" s="352" t="s">
        <v>966</v>
      </c>
      <c r="BA24" s="341" t="s">
        <v>545</v>
      </c>
      <c r="BB24" s="341" t="s">
        <v>995</v>
      </c>
      <c r="BC24" s="361" t="s">
        <v>184</v>
      </c>
      <c r="BD24" s="362" t="s">
        <v>996</v>
      </c>
      <c r="BE24" s="337" t="s">
        <v>860</v>
      </c>
      <c r="BF24" s="341" t="s">
        <v>807</v>
      </c>
      <c r="BG24" s="341" t="s">
        <v>806</v>
      </c>
      <c r="BH24" s="1">
        <v>20899</v>
      </c>
      <c r="BI24" s="352" t="s">
        <v>966</v>
      </c>
      <c r="BJ24" s="274"/>
    </row>
    <row r="25" spans="2:62" ht="15.75" thickBot="1" x14ac:dyDescent="0.3">
      <c r="B25" s="294" t="s">
        <v>1265</v>
      </c>
      <c r="C25" s="321" t="s">
        <v>450</v>
      </c>
      <c r="D25" s="293" t="s">
        <v>141</v>
      </c>
      <c r="E25" s="293" t="s">
        <v>809</v>
      </c>
      <c r="F25" s="440" t="s">
        <v>1123</v>
      </c>
      <c r="G25" s="440" t="s">
        <v>1023</v>
      </c>
      <c r="H25" s="293" t="s">
        <v>1124</v>
      </c>
      <c r="I25" s="316" t="s">
        <v>1264</v>
      </c>
      <c r="J25" s="316" t="s">
        <v>1125</v>
      </c>
      <c r="K25" s="462" t="s">
        <v>450</v>
      </c>
      <c r="L25" s="293">
        <v>48895</v>
      </c>
      <c r="M25" s="293" t="s">
        <v>966</v>
      </c>
      <c r="N25" s="292" t="s">
        <v>966</v>
      </c>
      <c r="O25" s="262"/>
      <c r="P25" s="273"/>
      <c r="Q25" s="274"/>
      <c r="R25" s="269"/>
      <c r="S25" s="275" t="s">
        <v>846</v>
      </c>
      <c r="T25" s="276" t="s">
        <v>705</v>
      </c>
      <c r="U25" s="262"/>
      <c r="V25" s="267"/>
      <c r="W25" s="277" t="s">
        <v>706</v>
      </c>
      <c r="X25" s="310"/>
      <c r="Y25" s="381"/>
      <c r="Z25" s="380"/>
      <c r="AA25" s="432" t="s">
        <v>1033</v>
      </c>
      <c r="AB25" s="380"/>
      <c r="AC25" s="376"/>
      <c r="AD25" s="407"/>
      <c r="AE25" s="394"/>
      <c r="AF25" s="377"/>
      <c r="AG25" s="394"/>
      <c r="AH25" s="394"/>
      <c r="AJ25" s="267"/>
      <c r="AL25" s="351">
        <v>23</v>
      </c>
      <c r="AM25" s="341" t="s">
        <v>904</v>
      </c>
      <c r="AN25" s="343" t="s">
        <v>1366</v>
      </c>
      <c r="AO25" s="341" t="s">
        <v>1355</v>
      </c>
      <c r="AP25" s="348" t="s">
        <v>1027</v>
      </c>
      <c r="AQ25" s="348" t="s">
        <v>989</v>
      </c>
      <c r="AR25" s="348">
        <v>21</v>
      </c>
      <c r="AS25" s="348" t="s">
        <v>820</v>
      </c>
      <c r="AT25" s="348" t="s">
        <v>990</v>
      </c>
      <c r="AU25" s="519" t="s">
        <v>1562</v>
      </c>
      <c r="AV25" s="348" t="s">
        <v>567</v>
      </c>
      <c r="AW25" s="343" t="s">
        <v>897</v>
      </c>
      <c r="AX25" s="352">
        <v>30</v>
      </c>
      <c r="AY25" s="352" t="s">
        <v>567</v>
      </c>
      <c r="AZ25" s="352" t="s">
        <v>966</v>
      </c>
      <c r="BA25" s="341" t="s">
        <v>545</v>
      </c>
      <c r="BB25" s="341" t="s">
        <v>995</v>
      </c>
      <c r="BC25" s="361" t="s">
        <v>184</v>
      </c>
      <c r="BD25" s="362" t="s">
        <v>996</v>
      </c>
      <c r="BE25" s="337" t="s">
        <v>860</v>
      </c>
      <c r="BF25" s="341" t="s">
        <v>807</v>
      </c>
      <c r="BG25" s="341" t="s">
        <v>806</v>
      </c>
      <c r="BH25" s="1">
        <v>20899</v>
      </c>
      <c r="BI25" s="352" t="s">
        <v>966</v>
      </c>
      <c r="BJ25" s="274"/>
    </row>
    <row r="26" spans="2:62" ht="16.5" thickTop="1" thickBot="1" x14ac:dyDescent="0.3">
      <c r="B26" s="294" t="s">
        <v>169</v>
      </c>
      <c r="C26" s="321" t="s">
        <v>451</v>
      </c>
      <c r="D26" s="293" t="s">
        <v>141</v>
      </c>
      <c r="E26" s="293" t="s">
        <v>809</v>
      </c>
      <c r="F26" s="440" t="s">
        <v>1126</v>
      </c>
      <c r="G26" s="440" t="s">
        <v>1127</v>
      </c>
      <c r="H26" s="293" t="s">
        <v>171</v>
      </c>
      <c r="I26" s="316" t="s">
        <v>1128</v>
      </c>
      <c r="J26" s="316" t="s">
        <v>1129</v>
      </c>
      <c r="K26" s="462" t="s">
        <v>451</v>
      </c>
      <c r="L26" s="293">
        <v>55306</v>
      </c>
      <c r="M26" s="293" t="s">
        <v>966</v>
      </c>
      <c r="N26" s="292" t="s">
        <v>966</v>
      </c>
      <c r="O26" s="262"/>
      <c r="P26" s="273" t="s">
        <v>298</v>
      </c>
      <c r="Q26" s="274" t="s">
        <v>299</v>
      </c>
      <c r="R26" s="269"/>
      <c r="S26" s="275" t="s">
        <v>847</v>
      </c>
      <c r="T26" s="276" t="s">
        <v>707</v>
      </c>
      <c r="U26" s="262"/>
      <c r="V26" s="267"/>
      <c r="W26" s="277" t="s">
        <v>708</v>
      </c>
      <c r="X26" s="310"/>
      <c r="Y26" s="381" t="s">
        <v>138</v>
      </c>
      <c r="Z26" s="380"/>
      <c r="AA26" s="432" t="s">
        <v>1546</v>
      </c>
      <c r="AB26" s="380"/>
      <c r="AC26" s="380"/>
      <c r="AD26" s="380"/>
      <c r="AE26" s="380"/>
      <c r="AF26" s="380"/>
      <c r="AG26" s="380"/>
      <c r="AH26" s="380"/>
      <c r="AJ26" s="306"/>
      <c r="AL26" s="351">
        <v>24</v>
      </c>
      <c r="AM26" s="341" t="s">
        <v>905</v>
      </c>
      <c r="AN26" s="343" t="s">
        <v>1375</v>
      </c>
      <c r="AO26" s="341" t="s">
        <v>1355</v>
      </c>
      <c r="AP26" s="348" t="s">
        <v>1027</v>
      </c>
      <c r="AQ26" s="348" t="s">
        <v>987</v>
      </c>
      <c r="AR26" s="348">
        <v>2</v>
      </c>
      <c r="AS26" s="348" t="s">
        <v>820</v>
      </c>
      <c r="AT26" s="348" t="s">
        <v>990</v>
      </c>
      <c r="AU26" s="349" t="s">
        <v>1383</v>
      </c>
      <c r="AV26" s="348" t="s">
        <v>567</v>
      </c>
      <c r="AW26" s="343" t="s">
        <v>899</v>
      </c>
      <c r="AX26" s="352" t="s">
        <v>966</v>
      </c>
      <c r="AY26" s="352" t="s">
        <v>567</v>
      </c>
      <c r="AZ26" s="352" t="s">
        <v>966</v>
      </c>
      <c r="BA26" s="341" t="s">
        <v>545</v>
      </c>
      <c r="BB26" s="341" t="s">
        <v>995</v>
      </c>
      <c r="BC26" s="361" t="s">
        <v>184</v>
      </c>
      <c r="BD26" s="362" t="s">
        <v>996</v>
      </c>
      <c r="BE26" s="337" t="s">
        <v>860</v>
      </c>
      <c r="BF26" s="341" t="s">
        <v>807</v>
      </c>
      <c r="BG26" s="341" t="s">
        <v>806</v>
      </c>
      <c r="BH26" s="1">
        <v>20899</v>
      </c>
      <c r="BI26" s="352" t="s">
        <v>966</v>
      </c>
      <c r="BJ26" s="274"/>
    </row>
    <row r="27" spans="2:62" ht="16.5" thickTop="1" thickBot="1" x14ac:dyDescent="0.3">
      <c r="B27" s="294" t="s">
        <v>1267</v>
      </c>
      <c r="C27" s="321" t="s">
        <v>453</v>
      </c>
      <c r="D27" s="293" t="s">
        <v>154</v>
      </c>
      <c r="E27" s="293" t="s">
        <v>809</v>
      </c>
      <c r="F27" s="440" t="s">
        <v>1437</v>
      </c>
      <c r="G27" s="440" t="s">
        <v>1438</v>
      </c>
      <c r="H27" s="293" t="s">
        <v>1439</v>
      </c>
      <c r="I27" s="316" t="s">
        <v>1266</v>
      </c>
      <c r="J27" s="316" t="s">
        <v>1440</v>
      </c>
      <c r="K27" s="462" t="s">
        <v>453</v>
      </c>
      <c r="L27" s="293">
        <v>65102</v>
      </c>
      <c r="M27" s="293" t="s">
        <v>966</v>
      </c>
      <c r="N27" s="292" t="s">
        <v>966</v>
      </c>
      <c r="O27" s="262"/>
      <c r="P27" s="273" t="s">
        <v>300</v>
      </c>
      <c r="Q27" s="278" t="s">
        <v>709</v>
      </c>
      <c r="R27" s="269"/>
      <c r="S27" s="275" t="s">
        <v>848</v>
      </c>
      <c r="T27" s="276" t="s">
        <v>710</v>
      </c>
      <c r="U27" s="262"/>
      <c r="V27" s="267"/>
      <c r="W27" s="277" t="s">
        <v>711</v>
      </c>
      <c r="X27" s="310"/>
      <c r="Y27" s="384" t="s">
        <v>143</v>
      </c>
      <c r="Z27" s="380"/>
      <c r="AA27" s="432" t="s">
        <v>1032</v>
      </c>
      <c r="AB27" s="380"/>
      <c r="AC27" s="380"/>
      <c r="AD27" s="402" t="s">
        <v>1008</v>
      </c>
      <c r="AE27" s="333"/>
      <c r="AF27" s="334"/>
      <c r="AG27" s="505"/>
      <c r="AH27" s="333"/>
      <c r="AJ27" s="262"/>
      <c r="AL27" s="351">
        <v>25</v>
      </c>
      <c r="AM27" s="341" t="s">
        <v>908</v>
      </c>
      <c r="AN27" s="343" t="s">
        <v>906</v>
      </c>
      <c r="AO27" s="341" t="s">
        <v>1355</v>
      </c>
      <c r="AP27" s="348" t="s">
        <v>973</v>
      </c>
      <c r="AQ27" s="348" t="s">
        <v>907</v>
      </c>
      <c r="AR27" s="348">
        <v>1</v>
      </c>
      <c r="AS27" s="348" t="s">
        <v>820</v>
      </c>
      <c r="AT27" s="348" t="s">
        <v>990</v>
      </c>
      <c r="AU27" s="349" t="s">
        <v>1383</v>
      </c>
      <c r="AV27" s="348" t="s">
        <v>567</v>
      </c>
      <c r="AW27" s="521">
        <v>1500</v>
      </c>
      <c r="AX27" s="352">
        <v>30</v>
      </c>
      <c r="AY27" s="352" t="s">
        <v>567</v>
      </c>
      <c r="AZ27" s="352" t="s">
        <v>966</v>
      </c>
      <c r="BA27" s="341" t="s">
        <v>545</v>
      </c>
      <c r="BB27" s="341" t="s">
        <v>995</v>
      </c>
      <c r="BC27" s="361" t="s">
        <v>184</v>
      </c>
      <c r="BD27" s="362" t="s">
        <v>996</v>
      </c>
      <c r="BE27" s="337" t="s">
        <v>860</v>
      </c>
      <c r="BF27" s="341" t="s">
        <v>807</v>
      </c>
      <c r="BG27" s="341" t="s">
        <v>806</v>
      </c>
      <c r="BH27" s="1">
        <v>20899</v>
      </c>
      <c r="BI27" s="352" t="s">
        <v>966</v>
      </c>
      <c r="BJ27" s="274"/>
    </row>
    <row r="28" spans="2:62" ht="16.5" thickTop="1" thickBot="1" x14ac:dyDescent="0.3">
      <c r="B28" s="294" t="s">
        <v>1269</v>
      </c>
      <c r="C28" s="321" t="s">
        <v>452</v>
      </c>
      <c r="D28" s="293" t="s">
        <v>151</v>
      </c>
      <c r="E28" s="293" t="s">
        <v>809</v>
      </c>
      <c r="F28" s="440" t="s">
        <v>1551</v>
      </c>
      <c r="G28" s="440" t="s">
        <v>1550</v>
      </c>
      <c r="H28" s="293" t="s">
        <v>1130</v>
      </c>
      <c r="I28" s="316" t="s">
        <v>1268</v>
      </c>
      <c r="J28" s="316" t="s">
        <v>1131</v>
      </c>
      <c r="K28" s="462" t="s">
        <v>452</v>
      </c>
      <c r="L28" s="293">
        <v>39096</v>
      </c>
      <c r="M28" s="293" t="s">
        <v>966</v>
      </c>
      <c r="N28" s="292" t="s">
        <v>966</v>
      </c>
      <c r="P28" s="273" t="s">
        <v>301</v>
      </c>
      <c r="Q28" s="274" t="s">
        <v>302</v>
      </c>
      <c r="R28" s="269"/>
      <c r="S28" s="275" t="s">
        <v>849</v>
      </c>
      <c r="T28" s="276" t="s">
        <v>712</v>
      </c>
      <c r="U28" s="262"/>
      <c r="V28" s="267"/>
      <c r="W28" s="277" t="s">
        <v>713</v>
      </c>
      <c r="X28" s="310"/>
      <c r="Y28" s="1"/>
      <c r="Z28" s="380"/>
      <c r="AA28" s="432" t="s">
        <v>1031</v>
      </c>
      <c r="AB28" s="380"/>
      <c r="AC28" s="376"/>
      <c r="AD28" s="403" t="s">
        <v>104</v>
      </c>
      <c r="AE28" s="404" t="s">
        <v>106</v>
      </c>
      <c r="AF28" s="405" t="s">
        <v>107</v>
      </c>
      <c r="AG28" s="504"/>
      <c r="AH28" s="404" t="s">
        <v>1006</v>
      </c>
      <c r="AJ28" s="307" t="s">
        <v>223</v>
      </c>
      <c r="AL28" s="351">
        <v>26</v>
      </c>
      <c r="AM28" s="341" t="s">
        <v>909</v>
      </c>
      <c r="AN28" s="343" t="s">
        <v>1375</v>
      </c>
      <c r="AO28" s="341" t="s">
        <v>1355</v>
      </c>
      <c r="AP28" s="348" t="s">
        <v>1027</v>
      </c>
      <c r="AQ28" s="348" t="s">
        <v>987</v>
      </c>
      <c r="AR28" s="348">
        <v>1</v>
      </c>
      <c r="AS28" s="348" t="s">
        <v>820</v>
      </c>
      <c r="AT28" s="348" t="s">
        <v>990</v>
      </c>
      <c r="AU28" s="349" t="s">
        <v>1383</v>
      </c>
      <c r="AV28" s="348" t="s">
        <v>567</v>
      </c>
      <c r="AW28" s="343" t="s">
        <v>899</v>
      </c>
      <c r="AX28" s="352" t="s">
        <v>966</v>
      </c>
      <c r="AY28" s="352" t="s">
        <v>567</v>
      </c>
      <c r="AZ28" s="352" t="s">
        <v>966</v>
      </c>
      <c r="BA28" s="341" t="s">
        <v>545</v>
      </c>
      <c r="BB28" s="341" t="s">
        <v>995</v>
      </c>
      <c r="BC28" s="361" t="s">
        <v>184</v>
      </c>
      <c r="BD28" s="362" t="s">
        <v>996</v>
      </c>
      <c r="BE28" s="337" t="s">
        <v>860</v>
      </c>
      <c r="BF28" s="341" t="s">
        <v>807</v>
      </c>
      <c r="BG28" s="341" t="s">
        <v>806</v>
      </c>
      <c r="BH28" s="1">
        <v>20899</v>
      </c>
      <c r="BI28" s="352" t="s">
        <v>966</v>
      </c>
      <c r="BJ28" s="274"/>
    </row>
    <row r="29" spans="2:62" ht="15.75" thickBot="1" x14ac:dyDescent="0.3">
      <c r="B29" s="294" t="s">
        <v>1217</v>
      </c>
      <c r="C29" s="321" t="s">
        <v>454</v>
      </c>
      <c r="D29" s="293" t="s">
        <v>158</v>
      </c>
      <c r="E29" s="293" t="s">
        <v>809</v>
      </c>
      <c r="F29" s="440" t="s">
        <v>1443</v>
      </c>
      <c r="G29" s="440" t="s">
        <v>1444</v>
      </c>
      <c r="H29" s="293" t="s">
        <v>1445</v>
      </c>
      <c r="I29" s="316" t="s">
        <v>1270</v>
      </c>
      <c r="J29" s="316" t="s">
        <v>1446</v>
      </c>
      <c r="K29" s="462" t="s">
        <v>454</v>
      </c>
      <c r="L29" s="293" t="s">
        <v>1447</v>
      </c>
      <c r="M29" s="293" t="s">
        <v>966</v>
      </c>
      <c r="N29" s="292" t="s">
        <v>966</v>
      </c>
      <c r="O29" s="262"/>
      <c r="P29" s="273" t="s">
        <v>303</v>
      </c>
      <c r="Q29" s="274" t="s">
        <v>304</v>
      </c>
      <c r="R29" s="269"/>
      <c r="S29" s="275" t="s">
        <v>850</v>
      </c>
      <c r="T29" s="276" t="s">
        <v>714</v>
      </c>
      <c r="U29" s="262"/>
      <c r="V29" s="408"/>
      <c r="W29" s="277" t="s">
        <v>305</v>
      </c>
      <c r="X29" s="310"/>
      <c r="Y29" s="1"/>
      <c r="Z29" s="380"/>
      <c r="AA29" s="432" t="s">
        <v>1047</v>
      </c>
      <c r="AB29" s="380"/>
      <c r="AC29" s="380"/>
      <c r="AD29" s="422" t="s">
        <v>183</v>
      </c>
      <c r="AE29" s="389" t="s">
        <v>184</v>
      </c>
      <c r="AF29" s="392" t="s">
        <v>185</v>
      </c>
      <c r="AG29" s="204"/>
      <c r="AH29" s="27" t="s">
        <v>1002</v>
      </c>
      <c r="AJ29" s="267" t="s">
        <v>224</v>
      </c>
      <c r="AL29" s="351">
        <v>27</v>
      </c>
      <c r="AM29" s="341" t="s">
        <v>912</v>
      </c>
      <c r="AN29" s="343" t="s">
        <v>910</v>
      </c>
      <c r="AO29" s="341" t="s">
        <v>796</v>
      </c>
      <c r="AP29" s="348" t="s">
        <v>973</v>
      </c>
      <c r="AQ29" s="348" t="s">
        <v>911</v>
      </c>
      <c r="AR29" s="348">
        <v>1</v>
      </c>
      <c r="AS29" s="348" t="s">
        <v>820</v>
      </c>
      <c r="AT29" s="348" t="s">
        <v>990</v>
      </c>
      <c r="AU29" s="349" t="s">
        <v>966</v>
      </c>
      <c r="AV29" s="348" t="s">
        <v>567</v>
      </c>
      <c r="AW29" s="352" t="s">
        <v>966</v>
      </c>
      <c r="AX29" s="352" t="s">
        <v>966</v>
      </c>
      <c r="AY29" s="352" t="s">
        <v>567</v>
      </c>
      <c r="AZ29" s="352" t="s">
        <v>966</v>
      </c>
      <c r="BA29" s="341" t="s">
        <v>545</v>
      </c>
      <c r="BB29" s="341" t="s">
        <v>995</v>
      </c>
      <c r="BC29" s="361" t="s">
        <v>184</v>
      </c>
      <c r="BD29" s="362" t="s">
        <v>996</v>
      </c>
      <c r="BE29" s="337" t="s">
        <v>860</v>
      </c>
      <c r="BF29" s="341" t="s">
        <v>807</v>
      </c>
      <c r="BG29" s="341" t="s">
        <v>806</v>
      </c>
      <c r="BH29" s="1">
        <v>20899</v>
      </c>
      <c r="BI29" s="352" t="s">
        <v>966</v>
      </c>
      <c r="BJ29" s="274"/>
    </row>
    <row r="30" spans="2:62" ht="16.5" thickTop="1" thickBot="1" x14ac:dyDescent="0.3">
      <c r="B30" s="294" t="s">
        <v>1272</v>
      </c>
      <c r="C30" s="321" t="s">
        <v>461</v>
      </c>
      <c r="D30" s="293" t="s">
        <v>151</v>
      </c>
      <c r="E30" s="293" t="s">
        <v>809</v>
      </c>
      <c r="F30" s="440" t="s">
        <v>1547</v>
      </c>
      <c r="G30" s="440" t="s">
        <v>1549</v>
      </c>
      <c r="H30" s="293" t="s">
        <v>1548</v>
      </c>
      <c r="I30" s="316" t="s">
        <v>1508</v>
      </c>
      <c r="J30" s="316" t="s">
        <v>1150</v>
      </c>
      <c r="K30" s="462" t="s">
        <v>461</v>
      </c>
      <c r="L30" s="293">
        <v>27607</v>
      </c>
      <c r="M30" s="293" t="s">
        <v>966</v>
      </c>
      <c r="N30" s="292" t="s">
        <v>966</v>
      </c>
      <c r="O30" s="3"/>
      <c r="P30" s="273" t="s">
        <v>306</v>
      </c>
      <c r="Q30" s="274" t="s">
        <v>307</v>
      </c>
      <c r="R30" s="269"/>
      <c r="S30" s="275" t="s">
        <v>851</v>
      </c>
      <c r="T30" s="276" t="s">
        <v>715</v>
      </c>
      <c r="U30" s="262"/>
      <c r="V30" s="267"/>
      <c r="W30" s="277" t="s">
        <v>308</v>
      </c>
      <c r="X30" s="310"/>
      <c r="Y30" s="386" t="s">
        <v>135</v>
      </c>
      <c r="Z30" s="380"/>
      <c r="AA30" s="432"/>
      <c r="AB30" s="380"/>
      <c r="AC30" s="376"/>
      <c r="AD30" s="319" t="s">
        <v>186</v>
      </c>
      <c r="AE30" s="390" t="s">
        <v>187</v>
      </c>
      <c r="AF30" s="392" t="s">
        <v>188</v>
      </c>
      <c r="AG30" s="204"/>
      <c r="AH30" s="27" t="s">
        <v>1002</v>
      </c>
      <c r="AJ30" s="267"/>
      <c r="AL30" s="351">
        <v>28</v>
      </c>
      <c r="AM30" s="341" t="s">
        <v>913</v>
      </c>
      <c r="AN30" s="343" t="s">
        <v>1375</v>
      </c>
      <c r="AO30" s="341" t="s">
        <v>1355</v>
      </c>
      <c r="AP30" s="348" t="s">
        <v>1027</v>
      </c>
      <c r="AQ30" s="348" t="s">
        <v>987</v>
      </c>
      <c r="AR30" s="348">
        <v>1</v>
      </c>
      <c r="AS30" s="348" t="s">
        <v>820</v>
      </c>
      <c r="AT30" s="348" t="s">
        <v>990</v>
      </c>
      <c r="AU30" s="349" t="s">
        <v>1383</v>
      </c>
      <c r="AV30" s="348" t="s">
        <v>567</v>
      </c>
      <c r="AW30" s="343" t="s">
        <v>899</v>
      </c>
      <c r="AX30" s="352" t="s">
        <v>966</v>
      </c>
      <c r="AY30" s="352" t="s">
        <v>567</v>
      </c>
      <c r="AZ30" s="352" t="s">
        <v>966</v>
      </c>
      <c r="BA30" s="341" t="s">
        <v>545</v>
      </c>
      <c r="BB30" s="341" t="s">
        <v>995</v>
      </c>
      <c r="BC30" s="361" t="s">
        <v>184</v>
      </c>
      <c r="BD30" s="362" t="s">
        <v>996</v>
      </c>
      <c r="BE30" s="337" t="s">
        <v>860</v>
      </c>
      <c r="BF30" s="341" t="s">
        <v>807</v>
      </c>
      <c r="BG30" s="341" t="s">
        <v>806</v>
      </c>
      <c r="BH30" s="1">
        <v>20899</v>
      </c>
      <c r="BI30" s="352" t="s">
        <v>966</v>
      </c>
      <c r="BJ30" s="274"/>
    </row>
    <row r="31" spans="2:62" ht="15.75" thickBot="1" x14ac:dyDescent="0.3">
      <c r="B31" s="294" t="s">
        <v>1273</v>
      </c>
      <c r="C31" s="321" t="s">
        <v>462</v>
      </c>
      <c r="D31" s="293" t="s">
        <v>141</v>
      </c>
      <c r="E31" s="293" t="s">
        <v>809</v>
      </c>
      <c r="F31" s="440" t="s">
        <v>966</v>
      </c>
      <c r="G31" s="440" t="s">
        <v>966</v>
      </c>
      <c r="H31" s="293" t="s">
        <v>966</v>
      </c>
      <c r="I31" s="316" t="s">
        <v>1274</v>
      </c>
      <c r="J31" s="316" t="s">
        <v>966</v>
      </c>
      <c r="K31" s="462" t="s">
        <v>462</v>
      </c>
      <c r="L31" s="293" t="s">
        <v>966</v>
      </c>
      <c r="M31" s="293" t="s">
        <v>966</v>
      </c>
      <c r="N31" s="292" t="s">
        <v>966</v>
      </c>
      <c r="O31" s="3"/>
      <c r="P31" s="273" t="s">
        <v>309</v>
      </c>
      <c r="Q31" s="274" t="s">
        <v>310</v>
      </c>
      <c r="R31" s="269"/>
      <c r="S31" s="275" t="s">
        <v>852</v>
      </c>
      <c r="T31" s="276" t="s">
        <v>716</v>
      </c>
      <c r="U31" s="262"/>
      <c r="V31" s="267"/>
      <c r="W31" s="277" t="s">
        <v>205</v>
      </c>
      <c r="X31" s="310"/>
      <c r="Y31" s="381" t="s">
        <v>234</v>
      </c>
      <c r="Z31" s="380"/>
      <c r="AA31" s="432"/>
      <c r="AB31" s="380"/>
      <c r="AC31" s="376"/>
      <c r="AD31" s="319" t="s">
        <v>1003</v>
      </c>
      <c r="AE31" s="390" t="s">
        <v>1000</v>
      </c>
      <c r="AF31" s="392" t="s">
        <v>1001</v>
      </c>
      <c r="AG31" s="204"/>
      <c r="AH31" s="27" t="s">
        <v>1002</v>
      </c>
      <c r="AJ31" s="306"/>
      <c r="AL31" s="351">
        <v>29</v>
      </c>
      <c r="AM31" s="341" t="s">
        <v>915</v>
      </c>
      <c r="AN31" s="343" t="s">
        <v>914</v>
      </c>
      <c r="AO31" s="341" t="s">
        <v>1355</v>
      </c>
      <c r="AP31" s="348" t="s">
        <v>1360</v>
      </c>
      <c r="AQ31" s="348" t="s">
        <v>988</v>
      </c>
      <c r="AR31" s="348">
        <v>1</v>
      </c>
      <c r="AS31" s="348" t="s">
        <v>820</v>
      </c>
      <c r="AT31" s="348" t="s">
        <v>990</v>
      </c>
      <c r="AU31" s="349" t="s">
        <v>966</v>
      </c>
      <c r="AV31" s="348" t="s">
        <v>567</v>
      </c>
      <c r="AW31" s="352" t="s">
        <v>966</v>
      </c>
      <c r="AX31" s="352" t="s">
        <v>966</v>
      </c>
      <c r="AY31" s="352" t="s">
        <v>567</v>
      </c>
      <c r="AZ31" s="352" t="s">
        <v>966</v>
      </c>
      <c r="BA31" s="341" t="s">
        <v>545</v>
      </c>
      <c r="BB31" s="341" t="s">
        <v>995</v>
      </c>
      <c r="BC31" s="361" t="s">
        <v>184</v>
      </c>
      <c r="BD31" s="362" t="s">
        <v>996</v>
      </c>
      <c r="BE31" s="337" t="s">
        <v>860</v>
      </c>
      <c r="BF31" s="341" t="s">
        <v>807</v>
      </c>
      <c r="BG31" s="341" t="s">
        <v>806</v>
      </c>
      <c r="BH31" s="1">
        <v>20899</v>
      </c>
      <c r="BI31" s="352" t="s">
        <v>966</v>
      </c>
      <c r="BJ31" s="274"/>
    </row>
    <row r="32" spans="2:62" ht="16.5" thickTop="1" thickBot="1" x14ac:dyDescent="0.3">
      <c r="B32" s="294" t="s">
        <v>1276</v>
      </c>
      <c r="C32" s="321" t="s">
        <v>455</v>
      </c>
      <c r="D32" s="293" t="s">
        <v>141</v>
      </c>
      <c r="E32" s="293" t="s">
        <v>809</v>
      </c>
      <c r="F32" s="440" t="s">
        <v>1138</v>
      </c>
      <c r="G32" s="440" t="s">
        <v>1139</v>
      </c>
      <c r="H32" s="293" t="s">
        <v>1140</v>
      </c>
      <c r="I32" s="316" t="s">
        <v>1275</v>
      </c>
      <c r="J32" s="316" t="s">
        <v>1141</v>
      </c>
      <c r="K32" s="462" t="s">
        <v>455</v>
      </c>
      <c r="L32" s="293">
        <v>68524</v>
      </c>
      <c r="M32" s="293" t="s">
        <v>966</v>
      </c>
      <c r="N32" s="292" t="s">
        <v>966</v>
      </c>
      <c r="O32" s="3"/>
      <c r="P32" s="273" t="s">
        <v>311</v>
      </c>
      <c r="Q32" s="274" t="s">
        <v>312</v>
      </c>
      <c r="R32" s="269"/>
      <c r="S32" s="275" t="s">
        <v>853</v>
      </c>
      <c r="T32" s="276" t="s">
        <v>717</v>
      </c>
      <c r="U32" s="262"/>
      <c r="V32" s="267"/>
      <c r="W32" s="279" t="s">
        <v>205</v>
      </c>
      <c r="X32" s="310"/>
      <c r="Y32" s="385" t="s">
        <v>140</v>
      </c>
      <c r="Z32" s="310"/>
      <c r="AA32" s="432"/>
      <c r="AB32" s="310"/>
      <c r="AC32" s="372"/>
      <c r="AD32" s="435" t="s">
        <v>1034</v>
      </c>
      <c r="AE32" s="435" t="s">
        <v>1036</v>
      </c>
      <c r="AF32" s="435" t="s">
        <v>1037</v>
      </c>
      <c r="AG32" s="435"/>
      <c r="AH32" s="435" t="s">
        <v>1043</v>
      </c>
      <c r="AJ32" s="262"/>
      <c r="AL32" s="351">
        <v>30</v>
      </c>
      <c r="AM32" s="341" t="s">
        <v>916</v>
      </c>
      <c r="AN32" s="343" t="s">
        <v>1375</v>
      </c>
      <c r="AO32" s="341" t="s">
        <v>1355</v>
      </c>
      <c r="AP32" s="348" t="s">
        <v>1027</v>
      </c>
      <c r="AQ32" s="348" t="s">
        <v>987</v>
      </c>
      <c r="AR32" s="348">
        <v>1</v>
      </c>
      <c r="AS32" s="348" t="s">
        <v>820</v>
      </c>
      <c r="AT32" s="348" t="s">
        <v>990</v>
      </c>
      <c r="AU32" s="349" t="s">
        <v>1383</v>
      </c>
      <c r="AV32" s="348" t="s">
        <v>567</v>
      </c>
      <c r="AW32" s="343" t="s">
        <v>899</v>
      </c>
      <c r="AX32" s="352" t="s">
        <v>966</v>
      </c>
      <c r="AY32" s="352" t="s">
        <v>567</v>
      </c>
      <c r="AZ32" s="352" t="s">
        <v>966</v>
      </c>
      <c r="BA32" s="341" t="s">
        <v>545</v>
      </c>
      <c r="BB32" s="341" t="s">
        <v>995</v>
      </c>
      <c r="BC32" s="361" t="s">
        <v>184</v>
      </c>
      <c r="BD32" s="362" t="s">
        <v>996</v>
      </c>
      <c r="BE32" s="337" t="s">
        <v>860</v>
      </c>
      <c r="BF32" s="341" t="s">
        <v>807</v>
      </c>
      <c r="BG32" s="341" t="s">
        <v>806</v>
      </c>
      <c r="BH32" s="1">
        <v>20899</v>
      </c>
      <c r="BI32" s="352" t="s">
        <v>966</v>
      </c>
      <c r="BJ32" s="274"/>
    </row>
    <row r="33" spans="2:62" ht="16.5" thickTop="1" thickBot="1" x14ac:dyDescent="0.3">
      <c r="B33" s="294" t="s">
        <v>1278</v>
      </c>
      <c r="C33" s="321" t="s">
        <v>457</v>
      </c>
      <c r="D33" s="293" t="s">
        <v>681</v>
      </c>
      <c r="E33" s="293" t="s">
        <v>809</v>
      </c>
      <c r="F33" s="440" t="s">
        <v>1040</v>
      </c>
      <c r="G33" s="440" t="s">
        <v>1142</v>
      </c>
      <c r="H33" s="293" t="s">
        <v>1042</v>
      </c>
      <c r="I33" s="316" t="s">
        <v>1277</v>
      </c>
      <c r="J33" s="316" t="s">
        <v>1143</v>
      </c>
      <c r="K33" s="462" t="s">
        <v>457</v>
      </c>
      <c r="L33" s="293">
        <v>3031</v>
      </c>
      <c r="M33" s="293" t="s">
        <v>966</v>
      </c>
      <c r="N33" s="292" t="s">
        <v>966</v>
      </c>
      <c r="O33" s="3"/>
      <c r="P33" s="273" t="s">
        <v>313</v>
      </c>
      <c r="Q33" s="274" t="s">
        <v>314</v>
      </c>
      <c r="R33" s="269"/>
      <c r="S33" s="275" t="s">
        <v>854</v>
      </c>
      <c r="T33" s="276" t="s">
        <v>718</v>
      </c>
      <c r="U33" s="262"/>
      <c r="V33" s="267"/>
      <c r="W33" s="267"/>
      <c r="X33" s="370"/>
      <c r="Y33" s="1"/>
      <c r="Z33" s="370"/>
      <c r="AA33" s="433"/>
      <c r="AB33" s="370"/>
      <c r="AC33" s="269"/>
      <c r="AD33" s="73" t="s">
        <v>1040</v>
      </c>
      <c r="AE33" s="73" t="s">
        <v>1041</v>
      </c>
      <c r="AF33" s="73" t="s">
        <v>1042</v>
      </c>
      <c r="AG33" s="73"/>
      <c r="AH33" s="73" t="s">
        <v>1044</v>
      </c>
      <c r="AJ33" s="307" t="s">
        <v>225</v>
      </c>
      <c r="AL33" s="351">
        <v>31</v>
      </c>
      <c r="AM33" s="341" t="s">
        <v>917</v>
      </c>
      <c r="AN33" s="343" t="s">
        <v>1371</v>
      </c>
      <c r="AO33" s="341" t="s">
        <v>1355</v>
      </c>
      <c r="AP33" s="348" t="s">
        <v>973</v>
      </c>
      <c r="AQ33" s="348" t="s">
        <v>871</v>
      </c>
      <c r="AR33" s="348">
        <v>34</v>
      </c>
      <c r="AS33" s="348" t="s">
        <v>820</v>
      </c>
      <c r="AT33" s="348" t="s">
        <v>990</v>
      </c>
      <c r="AU33" s="349" t="s">
        <v>1385</v>
      </c>
      <c r="AV33" s="348" t="s">
        <v>567</v>
      </c>
      <c r="AW33" s="343" t="s">
        <v>873</v>
      </c>
      <c r="AX33" s="352" t="s">
        <v>966</v>
      </c>
      <c r="AY33" s="352" t="s">
        <v>567</v>
      </c>
      <c r="AZ33" s="352" t="s">
        <v>966</v>
      </c>
      <c r="BA33" s="341" t="s">
        <v>545</v>
      </c>
      <c r="BB33" s="341" t="s">
        <v>995</v>
      </c>
      <c r="BC33" s="361" t="s">
        <v>184</v>
      </c>
      <c r="BD33" s="362" t="s">
        <v>996</v>
      </c>
      <c r="BE33" s="337" t="s">
        <v>860</v>
      </c>
      <c r="BF33" s="341" t="s">
        <v>807</v>
      </c>
      <c r="BG33" s="341" t="s">
        <v>806</v>
      </c>
      <c r="BH33" s="1">
        <v>20899</v>
      </c>
      <c r="BI33" s="468" t="s">
        <v>1370</v>
      </c>
      <c r="BJ33" s="274"/>
    </row>
    <row r="34" spans="2:62" ht="16.5" thickTop="1" thickBot="1" x14ac:dyDescent="0.3">
      <c r="B34" s="294" t="s">
        <v>1279</v>
      </c>
      <c r="C34" s="321" t="s">
        <v>458</v>
      </c>
      <c r="D34" s="293" t="s">
        <v>681</v>
      </c>
      <c r="E34" s="293" t="s">
        <v>809</v>
      </c>
      <c r="F34" s="440" t="s">
        <v>1449</v>
      </c>
      <c r="G34" s="440" t="s">
        <v>1448</v>
      </c>
      <c r="H34" s="293" t="s">
        <v>1450</v>
      </c>
      <c r="I34" s="316" t="s">
        <v>1280</v>
      </c>
      <c r="J34" s="316" t="s">
        <v>1451</v>
      </c>
      <c r="K34" s="462" t="s">
        <v>458</v>
      </c>
      <c r="L34" s="507" t="s">
        <v>1452</v>
      </c>
      <c r="M34" s="293" t="s">
        <v>966</v>
      </c>
      <c r="N34" s="292" t="s">
        <v>966</v>
      </c>
      <c r="O34" s="3"/>
      <c r="P34" s="273" t="s">
        <v>315</v>
      </c>
      <c r="Q34" s="274" t="s">
        <v>316</v>
      </c>
      <c r="R34" s="269"/>
      <c r="S34" s="269" t="s">
        <v>855</v>
      </c>
      <c r="T34" s="276" t="s">
        <v>719</v>
      </c>
      <c r="U34" s="262"/>
      <c r="V34" s="267"/>
      <c r="W34" s="267"/>
      <c r="X34" s="370"/>
      <c r="Y34" s="386" t="s">
        <v>130</v>
      </c>
      <c r="Z34" s="370"/>
      <c r="AA34" s="433"/>
      <c r="AB34" s="370"/>
      <c r="AC34" s="370"/>
      <c r="AD34" s="397"/>
      <c r="AE34" s="391"/>
      <c r="AF34" s="393"/>
      <c r="AG34" s="391"/>
      <c r="AH34" s="391"/>
      <c r="AJ34" s="267" t="s">
        <v>226</v>
      </c>
      <c r="AL34" s="351">
        <v>32</v>
      </c>
      <c r="AM34" s="341" t="s">
        <v>918</v>
      </c>
      <c r="AN34" s="343" t="s">
        <v>876</v>
      </c>
      <c r="AO34" s="341" t="s">
        <v>1355</v>
      </c>
      <c r="AP34" s="348" t="s">
        <v>973</v>
      </c>
      <c r="AQ34" s="348" t="s">
        <v>877</v>
      </c>
      <c r="AR34" s="348">
        <v>27</v>
      </c>
      <c r="AS34" s="348" t="s">
        <v>820</v>
      </c>
      <c r="AT34" s="348" t="s">
        <v>990</v>
      </c>
      <c r="AU34" s="349" t="s">
        <v>966</v>
      </c>
      <c r="AV34" s="348" t="s">
        <v>567</v>
      </c>
      <c r="AW34" s="343" t="s">
        <v>879</v>
      </c>
      <c r="AX34" s="352" t="s">
        <v>966</v>
      </c>
      <c r="AY34" s="352" t="s">
        <v>567</v>
      </c>
      <c r="AZ34" s="352" t="s">
        <v>966</v>
      </c>
      <c r="BA34" s="341" t="s">
        <v>545</v>
      </c>
      <c r="BB34" s="341" t="s">
        <v>995</v>
      </c>
      <c r="BC34" s="361" t="s">
        <v>184</v>
      </c>
      <c r="BD34" s="362" t="s">
        <v>996</v>
      </c>
      <c r="BE34" s="337" t="s">
        <v>860</v>
      </c>
      <c r="BF34" s="341" t="s">
        <v>807</v>
      </c>
      <c r="BG34" s="341" t="s">
        <v>806</v>
      </c>
      <c r="BH34" s="1">
        <v>20899</v>
      </c>
      <c r="BI34" s="352" t="s">
        <v>966</v>
      </c>
      <c r="BJ34" s="274"/>
    </row>
    <row r="35" spans="2:62" x14ac:dyDescent="0.25">
      <c r="B35" s="294" t="s">
        <v>1281</v>
      </c>
      <c r="C35" s="321" t="s">
        <v>459</v>
      </c>
      <c r="D35" s="293" t="s">
        <v>154</v>
      </c>
      <c r="E35" s="293" t="s">
        <v>809</v>
      </c>
      <c r="F35" s="440" t="s">
        <v>156</v>
      </c>
      <c r="G35" s="440" t="s">
        <v>1144</v>
      </c>
      <c r="H35" s="293" t="s">
        <v>1145</v>
      </c>
      <c r="I35" s="316" t="s">
        <v>1282</v>
      </c>
      <c r="J35" s="316" t="s">
        <v>1146</v>
      </c>
      <c r="K35" s="462" t="s">
        <v>459</v>
      </c>
      <c r="L35" s="293">
        <v>88003</v>
      </c>
      <c r="M35" s="293" t="s">
        <v>966</v>
      </c>
      <c r="N35" s="292" t="s">
        <v>966</v>
      </c>
      <c r="O35" s="3"/>
      <c r="P35" s="273" t="s">
        <v>317</v>
      </c>
      <c r="Q35" s="274" t="s">
        <v>318</v>
      </c>
      <c r="R35" s="269"/>
      <c r="S35" s="269" t="s">
        <v>856</v>
      </c>
      <c r="T35" s="276" t="s">
        <v>720</v>
      </c>
      <c r="U35" s="262"/>
      <c r="V35" s="267"/>
      <c r="W35" s="267"/>
      <c r="X35" s="370"/>
      <c r="Y35" s="381"/>
      <c r="Z35" s="370"/>
      <c r="AA35" s="433"/>
      <c r="AB35" s="370"/>
      <c r="AC35" s="370"/>
      <c r="AD35" s="397"/>
      <c r="AE35" s="391"/>
      <c r="AF35" s="393"/>
      <c r="AG35" s="391"/>
      <c r="AH35" s="391"/>
      <c r="AJ35" s="267"/>
      <c r="AL35" s="351">
        <v>33</v>
      </c>
      <c r="AM35" s="341" t="s">
        <v>1353</v>
      </c>
      <c r="AN35" s="343" t="s">
        <v>1368</v>
      </c>
      <c r="AO35" s="341" t="s">
        <v>883</v>
      </c>
      <c r="AP35" s="348" t="s">
        <v>1354</v>
      </c>
      <c r="AQ35" s="348" t="s">
        <v>986</v>
      </c>
      <c r="AR35" s="348">
        <v>1</v>
      </c>
      <c r="AS35" s="348" t="s">
        <v>814</v>
      </c>
      <c r="AT35" s="348" t="s">
        <v>990</v>
      </c>
      <c r="AU35" s="349" t="s">
        <v>567</v>
      </c>
      <c r="AV35" s="348" t="s">
        <v>1357</v>
      </c>
      <c r="AW35" s="343" t="s">
        <v>919</v>
      </c>
      <c r="AX35" s="352">
        <v>875</v>
      </c>
      <c r="AY35" s="352" t="s">
        <v>567</v>
      </c>
      <c r="AZ35" s="352" t="s">
        <v>966</v>
      </c>
      <c r="BA35" s="341" t="s">
        <v>545</v>
      </c>
      <c r="BB35" s="341" t="s">
        <v>995</v>
      </c>
      <c r="BC35" s="361" t="s">
        <v>184</v>
      </c>
      <c r="BD35" s="362" t="s">
        <v>996</v>
      </c>
      <c r="BE35" s="337" t="s">
        <v>860</v>
      </c>
      <c r="BF35" s="341" t="s">
        <v>807</v>
      </c>
      <c r="BG35" s="341" t="s">
        <v>806</v>
      </c>
      <c r="BH35" s="1">
        <v>20899</v>
      </c>
      <c r="BI35" s="352" t="s">
        <v>966</v>
      </c>
      <c r="BJ35" s="274"/>
    </row>
    <row r="36" spans="2:62" ht="15.75" thickBot="1" x14ac:dyDescent="0.3">
      <c r="B36" s="294" t="s">
        <v>1283</v>
      </c>
      <c r="C36" s="321" t="s">
        <v>456</v>
      </c>
      <c r="D36" s="293" t="s">
        <v>158</v>
      </c>
      <c r="E36" s="293" t="s">
        <v>809</v>
      </c>
      <c r="F36" s="440" t="s">
        <v>1286</v>
      </c>
      <c r="G36" s="440" t="s">
        <v>1284</v>
      </c>
      <c r="H36" s="293" t="s">
        <v>1285</v>
      </c>
      <c r="I36" s="316" t="s">
        <v>1493</v>
      </c>
      <c r="J36" s="316" t="s">
        <v>1492</v>
      </c>
      <c r="K36" s="464" t="s">
        <v>456</v>
      </c>
      <c r="L36" s="293">
        <v>89431</v>
      </c>
      <c r="M36" s="293" t="s">
        <v>966</v>
      </c>
      <c r="N36" s="292" t="s">
        <v>966</v>
      </c>
      <c r="O36" s="3"/>
      <c r="P36" s="273" t="s">
        <v>319</v>
      </c>
      <c r="Q36" s="274" t="s">
        <v>320</v>
      </c>
      <c r="R36" s="269"/>
      <c r="S36" s="269" t="s">
        <v>857</v>
      </c>
      <c r="T36" s="276" t="s">
        <v>721</v>
      </c>
      <c r="U36" s="262"/>
      <c r="V36" s="267"/>
      <c r="W36" s="267"/>
      <c r="X36" s="370"/>
      <c r="Y36" s="381">
        <v>2023</v>
      </c>
      <c r="Z36" s="370"/>
      <c r="AA36" s="433"/>
      <c r="AB36" s="370"/>
      <c r="AC36" s="370"/>
      <c r="AD36" s="397"/>
      <c r="AE36" s="391"/>
      <c r="AF36" s="393"/>
      <c r="AG36" s="391"/>
      <c r="AH36" s="391"/>
      <c r="AJ36" s="306"/>
      <c r="AL36" s="351">
        <v>34</v>
      </c>
      <c r="AM36" s="341" t="s">
        <v>920</v>
      </c>
      <c r="AN36" s="343" t="s">
        <v>1369</v>
      </c>
      <c r="AO36" s="341" t="s">
        <v>883</v>
      </c>
      <c r="AP36" s="348" t="s">
        <v>1029</v>
      </c>
      <c r="AQ36" s="348" t="s">
        <v>985</v>
      </c>
      <c r="AR36" s="348">
        <v>1</v>
      </c>
      <c r="AS36" s="348" t="s">
        <v>814</v>
      </c>
      <c r="AT36" s="348" t="s">
        <v>990</v>
      </c>
      <c r="AU36" s="349" t="s">
        <v>966</v>
      </c>
      <c r="AV36" s="348" t="s">
        <v>1030</v>
      </c>
      <c r="AW36" s="343" t="s">
        <v>921</v>
      </c>
      <c r="AX36" s="352">
        <v>300</v>
      </c>
      <c r="AY36" s="352" t="s">
        <v>567</v>
      </c>
      <c r="AZ36" s="352" t="s">
        <v>966</v>
      </c>
      <c r="BA36" s="341" t="s">
        <v>545</v>
      </c>
      <c r="BB36" s="341" t="s">
        <v>995</v>
      </c>
      <c r="BC36" s="361" t="s">
        <v>184</v>
      </c>
      <c r="BD36" s="362" t="s">
        <v>996</v>
      </c>
      <c r="BE36" s="337" t="s">
        <v>860</v>
      </c>
      <c r="BF36" s="341" t="s">
        <v>807</v>
      </c>
      <c r="BG36" s="341" t="s">
        <v>806</v>
      </c>
      <c r="BH36" s="1">
        <v>20899</v>
      </c>
      <c r="BI36" s="352" t="s">
        <v>966</v>
      </c>
      <c r="BJ36" s="274"/>
    </row>
    <row r="37" spans="2:62" ht="16.5" thickTop="1" thickBot="1" x14ac:dyDescent="0.3">
      <c r="B37" s="294" t="s">
        <v>1288</v>
      </c>
      <c r="C37" s="321" t="s">
        <v>460</v>
      </c>
      <c r="D37" s="293" t="s">
        <v>681</v>
      </c>
      <c r="E37" s="293" t="s">
        <v>809</v>
      </c>
      <c r="F37" s="440" t="s">
        <v>1147</v>
      </c>
      <c r="G37" s="440" t="s">
        <v>1148</v>
      </c>
      <c r="H37" s="293" t="s">
        <v>175</v>
      </c>
      <c r="I37" s="316" t="s">
        <v>1287</v>
      </c>
      <c r="J37" s="316" t="s">
        <v>1149</v>
      </c>
      <c r="K37" s="293" t="s">
        <v>460</v>
      </c>
      <c r="L37" s="293">
        <v>12206</v>
      </c>
      <c r="M37" s="293" t="s">
        <v>966</v>
      </c>
      <c r="N37" s="292" t="s">
        <v>966</v>
      </c>
      <c r="O37" s="3"/>
      <c r="P37" s="273" t="s">
        <v>321</v>
      </c>
      <c r="Q37" s="274" t="s">
        <v>322</v>
      </c>
      <c r="R37" s="269"/>
      <c r="S37" s="269" t="s">
        <v>1416</v>
      </c>
      <c r="T37" s="276" t="s">
        <v>1416</v>
      </c>
      <c r="U37" s="262"/>
      <c r="V37" s="267"/>
      <c r="W37" s="267"/>
      <c r="X37" s="370"/>
      <c r="Y37" s="381">
        <v>2024</v>
      </c>
      <c r="Z37" s="370"/>
      <c r="AA37" s="433"/>
      <c r="AB37" s="370"/>
      <c r="AC37" s="370"/>
      <c r="AD37" s="397"/>
      <c r="AE37" s="391"/>
      <c r="AF37" s="393"/>
      <c r="AG37" s="391"/>
      <c r="AH37" s="391"/>
      <c r="AJ37" s="262"/>
      <c r="AL37" s="351">
        <v>35</v>
      </c>
      <c r="AM37" s="341" t="s">
        <v>923</v>
      </c>
      <c r="AN37" s="343" t="s">
        <v>922</v>
      </c>
      <c r="AO37" s="341" t="s">
        <v>796</v>
      </c>
      <c r="AP37" s="348" t="s">
        <v>1027</v>
      </c>
      <c r="AQ37" s="348" t="s">
        <v>1026</v>
      </c>
      <c r="AR37" s="348">
        <v>2</v>
      </c>
      <c r="AS37" s="348" t="s">
        <v>820</v>
      </c>
      <c r="AT37" s="348" t="s">
        <v>990</v>
      </c>
      <c r="AU37" s="349" t="s">
        <v>966</v>
      </c>
      <c r="AV37" s="348" t="s">
        <v>567</v>
      </c>
      <c r="AW37" s="343" t="s">
        <v>924</v>
      </c>
      <c r="AX37" s="352">
        <v>1300</v>
      </c>
      <c r="AY37" s="352" t="s">
        <v>567</v>
      </c>
      <c r="AZ37" s="352" t="s">
        <v>966</v>
      </c>
      <c r="BA37" s="341" t="s">
        <v>545</v>
      </c>
      <c r="BB37" s="341" t="s">
        <v>995</v>
      </c>
      <c r="BC37" s="361" t="s">
        <v>184</v>
      </c>
      <c r="BD37" s="362" t="s">
        <v>996</v>
      </c>
      <c r="BE37" s="337" t="s">
        <v>860</v>
      </c>
      <c r="BF37" s="341" t="s">
        <v>807</v>
      </c>
      <c r="BG37" s="341" t="s">
        <v>806</v>
      </c>
      <c r="BH37" s="1">
        <v>20899</v>
      </c>
      <c r="BI37" s="352" t="s">
        <v>966</v>
      </c>
      <c r="BJ37" s="274"/>
    </row>
    <row r="38" spans="2:62" ht="15.75" thickTop="1" x14ac:dyDescent="0.25">
      <c r="B38" s="294" t="s">
        <v>1290</v>
      </c>
      <c r="C38" s="321" t="s">
        <v>463</v>
      </c>
      <c r="D38" s="293" t="s">
        <v>141</v>
      </c>
      <c r="E38" s="293" t="s">
        <v>809</v>
      </c>
      <c r="F38" s="440" t="s">
        <v>1424</v>
      </c>
      <c r="G38" s="440" t="s">
        <v>1425</v>
      </c>
      <c r="H38" s="293" t="s">
        <v>1152</v>
      </c>
      <c r="I38" s="316" t="s">
        <v>1289</v>
      </c>
      <c r="J38" s="316" t="s">
        <v>1153</v>
      </c>
      <c r="K38" s="461" t="s">
        <v>463</v>
      </c>
      <c r="L38" s="293">
        <v>43068</v>
      </c>
      <c r="M38" s="293" t="s">
        <v>966</v>
      </c>
      <c r="N38" s="292" t="s">
        <v>966</v>
      </c>
      <c r="O38" s="3"/>
      <c r="P38" s="273" t="s">
        <v>323</v>
      </c>
      <c r="Q38" s="274" t="s">
        <v>324</v>
      </c>
      <c r="R38" s="269"/>
      <c r="S38" s="269"/>
      <c r="T38" s="280"/>
      <c r="U38" s="262"/>
      <c r="V38" s="267"/>
      <c r="W38" s="267"/>
      <c r="X38" s="370"/>
      <c r="Y38" s="381">
        <v>2025</v>
      </c>
      <c r="Z38" s="370"/>
      <c r="AA38" s="433"/>
      <c r="AB38" s="370"/>
      <c r="AC38" s="370"/>
      <c r="AD38" s="397"/>
      <c r="AE38" s="391"/>
      <c r="AF38" s="393"/>
      <c r="AG38" s="391"/>
      <c r="AH38" s="391"/>
      <c r="AJ38" s="307" t="s">
        <v>227</v>
      </c>
      <c r="AL38" s="351">
        <v>36</v>
      </c>
      <c r="AM38" s="341" t="s">
        <v>927</v>
      </c>
      <c r="AN38" s="343" t="s">
        <v>1364</v>
      </c>
      <c r="AO38" s="341" t="s">
        <v>925</v>
      </c>
      <c r="AP38" s="348" t="s">
        <v>926</v>
      </c>
      <c r="AQ38" s="348" t="s">
        <v>1010</v>
      </c>
      <c r="AR38" s="348">
        <v>1</v>
      </c>
      <c r="AS38" s="348"/>
      <c r="AT38" s="348" t="s">
        <v>984</v>
      </c>
      <c r="AU38" s="349" t="s">
        <v>966</v>
      </c>
      <c r="AV38" s="348" t="s">
        <v>567</v>
      </c>
      <c r="AW38" s="343" t="s">
        <v>928</v>
      </c>
      <c r="AX38" s="352" t="s">
        <v>966</v>
      </c>
      <c r="AY38" s="352" t="s">
        <v>567</v>
      </c>
      <c r="AZ38" s="352" t="s">
        <v>966</v>
      </c>
      <c r="BA38" s="341" t="s">
        <v>545</v>
      </c>
      <c r="BB38" s="341" t="s">
        <v>995</v>
      </c>
      <c r="BC38" s="361" t="s">
        <v>184</v>
      </c>
      <c r="BD38" s="362" t="s">
        <v>996</v>
      </c>
      <c r="BE38" s="337" t="s">
        <v>860</v>
      </c>
      <c r="BF38" s="341" t="s">
        <v>807</v>
      </c>
      <c r="BG38" s="341" t="s">
        <v>806</v>
      </c>
      <c r="BH38" s="1">
        <v>20899</v>
      </c>
      <c r="BI38" s="352" t="s">
        <v>966</v>
      </c>
      <c r="BJ38" s="274"/>
    </row>
    <row r="39" spans="2:62" x14ac:dyDescent="0.25">
      <c r="B39" s="294" t="s">
        <v>1292</v>
      </c>
      <c r="C39" s="321" t="s">
        <v>464</v>
      </c>
      <c r="D39" s="293" t="s">
        <v>154</v>
      </c>
      <c r="E39" s="293" t="s">
        <v>809</v>
      </c>
      <c r="F39" s="440" t="s">
        <v>1154</v>
      </c>
      <c r="G39" s="440" t="s">
        <v>1155</v>
      </c>
      <c r="H39" s="293" t="s">
        <v>1156</v>
      </c>
      <c r="I39" s="316" t="s">
        <v>1291</v>
      </c>
      <c r="J39" s="316" t="s">
        <v>1157</v>
      </c>
      <c r="K39" s="462" t="s">
        <v>464</v>
      </c>
      <c r="L39" s="293">
        <v>73105</v>
      </c>
      <c r="M39" s="293" t="s">
        <v>966</v>
      </c>
      <c r="N39" s="292" t="s">
        <v>966</v>
      </c>
      <c r="O39" s="3"/>
      <c r="P39" s="273" t="s">
        <v>325</v>
      </c>
      <c r="Q39" s="274" t="s">
        <v>326</v>
      </c>
      <c r="R39" s="269"/>
      <c r="S39" s="269"/>
      <c r="T39" s="280"/>
      <c r="U39" s="262"/>
      <c r="V39" s="267"/>
      <c r="W39" s="267"/>
      <c r="X39" s="370"/>
      <c r="Y39" s="381">
        <v>2026</v>
      </c>
      <c r="Z39" s="370"/>
      <c r="AA39" s="433"/>
      <c r="AB39" s="370"/>
      <c r="AC39" s="370"/>
      <c r="AD39" s="397"/>
      <c r="AE39" s="391"/>
      <c r="AF39" s="393"/>
      <c r="AG39" s="391"/>
      <c r="AH39" s="391"/>
      <c r="AJ39" s="267" t="s">
        <v>228</v>
      </c>
      <c r="AL39" s="351">
        <v>37</v>
      </c>
      <c r="AM39" s="341" t="s">
        <v>321</v>
      </c>
      <c r="AN39" s="343" t="s">
        <v>929</v>
      </c>
      <c r="AO39" s="341" t="s">
        <v>770</v>
      </c>
      <c r="AP39" s="348" t="s">
        <v>1028</v>
      </c>
      <c r="AQ39" s="348" t="s">
        <v>983</v>
      </c>
      <c r="AR39" s="348">
        <v>28</v>
      </c>
      <c r="AS39" s="348" t="s">
        <v>811</v>
      </c>
      <c r="AT39" s="348" t="s">
        <v>990</v>
      </c>
      <c r="AU39" s="349" t="s">
        <v>1384</v>
      </c>
      <c r="AV39" s="348" t="s">
        <v>567</v>
      </c>
      <c r="AW39" s="352" t="s">
        <v>966</v>
      </c>
      <c r="AX39" s="352" t="s">
        <v>966</v>
      </c>
      <c r="AY39" s="352" t="s">
        <v>567</v>
      </c>
      <c r="AZ39" s="352" t="s">
        <v>966</v>
      </c>
      <c r="BA39" s="341" t="s">
        <v>545</v>
      </c>
      <c r="BB39" s="341" t="s">
        <v>995</v>
      </c>
      <c r="BC39" s="361" t="s">
        <v>184</v>
      </c>
      <c r="BD39" s="362" t="s">
        <v>996</v>
      </c>
      <c r="BE39" s="337" t="s">
        <v>860</v>
      </c>
      <c r="BF39" s="341" t="s">
        <v>807</v>
      </c>
      <c r="BG39" s="341" t="s">
        <v>806</v>
      </c>
      <c r="BH39" s="1">
        <v>20899</v>
      </c>
      <c r="BI39" s="352" t="s">
        <v>966</v>
      </c>
      <c r="BJ39" s="274"/>
    </row>
    <row r="40" spans="2:62" x14ac:dyDescent="0.25">
      <c r="B40" s="294" t="s">
        <v>1533</v>
      </c>
      <c r="C40" s="321" t="s">
        <v>465</v>
      </c>
      <c r="D40" s="293" t="s">
        <v>158</v>
      </c>
      <c r="E40" s="293" t="s">
        <v>809</v>
      </c>
      <c r="F40" s="440" t="s">
        <v>1453</v>
      </c>
      <c r="G40" s="440" t="s">
        <v>1454</v>
      </c>
      <c r="H40" s="293" t="s">
        <v>1455</v>
      </c>
      <c r="I40" s="316" t="s">
        <v>1534</v>
      </c>
      <c r="J40" s="316" t="s">
        <v>1456</v>
      </c>
      <c r="K40" s="462" t="s">
        <v>465</v>
      </c>
      <c r="L40" s="293" t="s">
        <v>1457</v>
      </c>
      <c r="M40" s="293" t="s">
        <v>966</v>
      </c>
      <c r="N40" s="292" t="s">
        <v>966</v>
      </c>
      <c r="O40" s="3"/>
      <c r="P40" s="273" t="s">
        <v>327</v>
      </c>
      <c r="Q40" s="274" t="s">
        <v>328</v>
      </c>
      <c r="R40" s="269"/>
      <c r="S40" s="269"/>
      <c r="T40" s="280"/>
      <c r="U40" s="262"/>
      <c r="V40" s="267"/>
      <c r="W40" s="267"/>
      <c r="X40" s="370"/>
      <c r="Y40" s="381">
        <v>2027</v>
      </c>
      <c r="Z40" s="370"/>
      <c r="AA40" s="433"/>
      <c r="AB40" s="370"/>
      <c r="AC40" s="370"/>
      <c r="AD40" s="397"/>
      <c r="AE40" s="391"/>
      <c r="AF40" s="393"/>
      <c r="AG40" s="391"/>
      <c r="AH40" s="391"/>
      <c r="AJ40" s="267"/>
      <c r="AL40" s="351">
        <v>38</v>
      </c>
      <c r="AM40" s="341" t="s">
        <v>930</v>
      </c>
      <c r="AN40" s="343" t="s">
        <v>929</v>
      </c>
      <c r="AO40" s="341" t="s">
        <v>770</v>
      </c>
      <c r="AP40" s="348" t="s">
        <v>1028</v>
      </c>
      <c r="AQ40" s="348" t="s">
        <v>983</v>
      </c>
      <c r="AR40" s="348">
        <v>28</v>
      </c>
      <c r="AS40" s="348" t="s">
        <v>811</v>
      </c>
      <c r="AT40" s="348" t="s">
        <v>990</v>
      </c>
      <c r="AU40" s="349" t="s">
        <v>1386</v>
      </c>
      <c r="AV40" s="348" t="s">
        <v>567</v>
      </c>
      <c r="AW40" s="352" t="s">
        <v>966</v>
      </c>
      <c r="AX40" s="352" t="s">
        <v>966</v>
      </c>
      <c r="AY40" s="352" t="s">
        <v>567</v>
      </c>
      <c r="AZ40" s="352" t="s">
        <v>966</v>
      </c>
      <c r="BA40" s="341" t="s">
        <v>545</v>
      </c>
      <c r="BB40" s="341" t="s">
        <v>995</v>
      </c>
      <c r="BC40" s="361" t="s">
        <v>184</v>
      </c>
      <c r="BD40" s="362" t="s">
        <v>996</v>
      </c>
      <c r="BE40" s="337" t="s">
        <v>860</v>
      </c>
      <c r="BF40" s="341" t="s">
        <v>807</v>
      </c>
      <c r="BG40" s="341" t="s">
        <v>806</v>
      </c>
      <c r="BH40" s="1">
        <v>20899</v>
      </c>
      <c r="BI40" s="352" t="s">
        <v>966</v>
      </c>
      <c r="BJ40" s="274"/>
    </row>
    <row r="41" spans="2:62" ht="15.75" thickBot="1" x14ac:dyDescent="0.3">
      <c r="B41" s="294" t="s">
        <v>1035</v>
      </c>
      <c r="C41" s="321" t="s">
        <v>466</v>
      </c>
      <c r="D41" s="293" t="s">
        <v>681</v>
      </c>
      <c r="E41" s="293" t="s">
        <v>809</v>
      </c>
      <c r="F41" s="440" t="s">
        <v>1034</v>
      </c>
      <c r="G41" s="514" t="s">
        <v>1036</v>
      </c>
      <c r="H41" s="293" t="s">
        <v>1566</v>
      </c>
      <c r="I41" s="316" t="s">
        <v>1293</v>
      </c>
      <c r="J41" s="316" t="s">
        <v>1158</v>
      </c>
      <c r="K41" s="462" t="s">
        <v>466</v>
      </c>
      <c r="L41" s="293">
        <v>17125</v>
      </c>
      <c r="M41" s="293" t="s">
        <v>966</v>
      </c>
      <c r="N41" s="292" t="s">
        <v>966</v>
      </c>
      <c r="O41" s="3"/>
      <c r="P41" s="273" t="s">
        <v>329</v>
      </c>
      <c r="Q41" s="274" t="s">
        <v>330</v>
      </c>
      <c r="R41" s="269"/>
      <c r="S41" s="269"/>
      <c r="T41" s="280"/>
      <c r="U41" s="262"/>
      <c r="V41" s="267"/>
      <c r="W41" s="267"/>
      <c r="X41" s="370"/>
      <c r="Y41" s="381">
        <v>2028</v>
      </c>
      <c r="Z41" s="370"/>
      <c r="AA41" s="433"/>
      <c r="AB41" s="370"/>
      <c r="AC41" s="370"/>
      <c r="AD41" s="397"/>
      <c r="AE41" s="391"/>
      <c r="AF41" s="393"/>
      <c r="AG41" s="391"/>
      <c r="AH41" s="391"/>
      <c r="AJ41" s="306"/>
      <c r="AL41" s="351">
        <v>39</v>
      </c>
      <c r="AM41" s="341" t="s">
        <v>323</v>
      </c>
      <c r="AN41" s="343" t="s">
        <v>929</v>
      </c>
      <c r="AO41" s="341" t="s">
        <v>770</v>
      </c>
      <c r="AP41" s="348" t="s">
        <v>1028</v>
      </c>
      <c r="AQ41" s="348" t="s">
        <v>983</v>
      </c>
      <c r="AR41" s="348">
        <v>28</v>
      </c>
      <c r="AS41" s="348" t="s">
        <v>811</v>
      </c>
      <c r="AT41" s="348" t="s">
        <v>990</v>
      </c>
      <c r="AU41" s="349" t="s">
        <v>1386</v>
      </c>
      <c r="AV41" s="348" t="s">
        <v>567</v>
      </c>
      <c r="AW41" s="352" t="s">
        <v>966</v>
      </c>
      <c r="AX41" s="352" t="s">
        <v>966</v>
      </c>
      <c r="AY41" s="352" t="s">
        <v>567</v>
      </c>
      <c r="AZ41" s="352" t="s">
        <v>966</v>
      </c>
      <c r="BA41" s="341" t="s">
        <v>545</v>
      </c>
      <c r="BB41" s="341" t="s">
        <v>995</v>
      </c>
      <c r="BC41" s="361" t="s">
        <v>184</v>
      </c>
      <c r="BD41" s="362" t="s">
        <v>996</v>
      </c>
      <c r="BE41" s="337" t="s">
        <v>860</v>
      </c>
      <c r="BF41" s="341" t="s">
        <v>807</v>
      </c>
      <c r="BG41" s="341" t="s">
        <v>806</v>
      </c>
      <c r="BH41" s="1">
        <v>20899</v>
      </c>
      <c r="BI41" s="352" t="s">
        <v>966</v>
      </c>
      <c r="BJ41" s="274"/>
    </row>
    <row r="42" spans="2:62" ht="15.75" thickTop="1" x14ac:dyDescent="0.25">
      <c r="B42" s="294" t="s">
        <v>1295</v>
      </c>
      <c r="C42" s="321" t="s">
        <v>480</v>
      </c>
      <c r="D42" s="293" t="s">
        <v>136</v>
      </c>
      <c r="E42" s="293" t="s">
        <v>809</v>
      </c>
      <c r="F42" s="440" t="s">
        <v>1495</v>
      </c>
      <c r="G42" s="440" t="s">
        <v>1496</v>
      </c>
      <c r="H42" s="293" t="s">
        <v>1497</v>
      </c>
      <c r="I42" s="316" t="s">
        <v>1294</v>
      </c>
      <c r="J42" s="316" t="s">
        <v>1498</v>
      </c>
      <c r="K42" s="462" t="s">
        <v>480</v>
      </c>
      <c r="L42" s="293">
        <v>918</v>
      </c>
      <c r="M42" s="293" t="s">
        <v>966</v>
      </c>
      <c r="N42" s="292" t="s">
        <v>966</v>
      </c>
      <c r="O42" s="3"/>
      <c r="P42" s="273" t="s">
        <v>331</v>
      </c>
      <c r="Q42" s="274" t="s">
        <v>332</v>
      </c>
      <c r="R42" s="269"/>
      <c r="S42" s="269"/>
      <c r="T42" s="280"/>
      <c r="U42" s="262"/>
      <c r="V42" s="267"/>
      <c r="W42" s="267"/>
      <c r="X42" s="370"/>
      <c r="Y42" s="381">
        <v>2029</v>
      </c>
      <c r="Z42" s="370"/>
      <c r="AA42" s="433"/>
      <c r="AB42" s="370"/>
      <c r="AC42" s="370"/>
      <c r="AD42" s="397"/>
      <c r="AE42" s="391"/>
      <c r="AF42" s="393"/>
      <c r="AG42" s="391"/>
      <c r="AH42" s="391"/>
      <c r="AJ42" s="262"/>
      <c r="AL42" s="351">
        <v>40</v>
      </c>
      <c r="AM42" s="341" t="s">
        <v>931</v>
      </c>
      <c r="AN42" s="343" t="s">
        <v>929</v>
      </c>
      <c r="AO42" s="341" t="s">
        <v>770</v>
      </c>
      <c r="AP42" s="348" t="s">
        <v>1028</v>
      </c>
      <c r="AQ42" s="348" t="s">
        <v>983</v>
      </c>
      <c r="AR42" s="348">
        <v>28</v>
      </c>
      <c r="AS42" s="348" t="s">
        <v>811</v>
      </c>
      <c r="AT42" s="348" t="s">
        <v>990</v>
      </c>
      <c r="AU42" s="349" t="s">
        <v>1386</v>
      </c>
      <c r="AV42" s="348" t="s">
        <v>567</v>
      </c>
      <c r="AW42" s="352" t="s">
        <v>966</v>
      </c>
      <c r="AX42" s="352" t="s">
        <v>966</v>
      </c>
      <c r="AY42" s="352" t="s">
        <v>567</v>
      </c>
      <c r="AZ42" s="352" t="s">
        <v>966</v>
      </c>
      <c r="BA42" s="341" t="s">
        <v>545</v>
      </c>
      <c r="BB42" s="341" t="s">
        <v>995</v>
      </c>
      <c r="BC42" s="361" t="s">
        <v>184</v>
      </c>
      <c r="BD42" s="362" t="s">
        <v>996</v>
      </c>
      <c r="BE42" s="337" t="s">
        <v>860</v>
      </c>
      <c r="BF42" s="341" t="s">
        <v>807</v>
      </c>
      <c r="BG42" s="341" t="s">
        <v>806</v>
      </c>
      <c r="BH42" s="1">
        <v>20899</v>
      </c>
      <c r="BI42" s="352" t="s">
        <v>966</v>
      </c>
      <c r="BJ42" s="274"/>
    </row>
    <row r="43" spans="2:62" x14ac:dyDescent="0.25">
      <c r="B43" s="294" t="s">
        <v>1296</v>
      </c>
      <c r="C43" s="321" t="s">
        <v>467</v>
      </c>
      <c r="D43" s="293" t="s">
        <v>681</v>
      </c>
      <c r="E43" s="293" t="s">
        <v>809</v>
      </c>
      <c r="F43" s="440" t="s">
        <v>966</v>
      </c>
      <c r="G43" s="440" t="s">
        <v>966</v>
      </c>
      <c r="H43" s="293" t="s">
        <v>966</v>
      </c>
      <c r="I43" s="316" t="s">
        <v>1297</v>
      </c>
      <c r="J43" s="316" t="s">
        <v>966</v>
      </c>
      <c r="K43" s="462" t="s">
        <v>467</v>
      </c>
      <c r="L43" s="293" t="s">
        <v>966</v>
      </c>
      <c r="M43" s="293" t="s">
        <v>966</v>
      </c>
      <c r="N43" s="292" t="s">
        <v>966</v>
      </c>
      <c r="O43" s="3"/>
      <c r="P43" s="273" t="s">
        <v>333</v>
      </c>
      <c r="Q43" s="278" t="s">
        <v>722</v>
      </c>
      <c r="R43" s="269"/>
      <c r="S43" s="269"/>
      <c r="T43" s="280"/>
      <c r="U43" s="262"/>
      <c r="V43" s="267"/>
      <c r="W43" s="267"/>
      <c r="X43" s="370"/>
      <c r="Y43" s="381">
        <v>2030</v>
      </c>
      <c r="Z43" s="370"/>
      <c r="AA43" s="433"/>
      <c r="AB43" s="370"/>
      <c r="AC43" s="370"/>
      <c r="AD43" s="397"/>
      <c r="AE43" s="391"/>
      <c r="AF43" s="393"/>
      <c r="AG43" s="391"/>
      <c r="AH43" s="391"/>
      <c r="AL43" s="351">
        <v>41</v>
      </c>
      <c r="AM43" s="341" t="s">
        <v>932</v>
      </c>
      <c r="AN43" s="343" t="s">
        <v>929</v>
      </c>
      <c r="AO43" s="341" t="s">
        <v>770</v>
      </c>
      <c r="AP43" s="348" t="s">
        <v>1028</v>
      </c>
      <c r="AQ43" s="348" t="s">
        <v>983</v>
      </c>
      <c r="AR43" s="348">
        <v>28</v>
      </c>
      <c r="AS43" s="348" t="s">
        <v>811</v>
      </c>
      <c r="AT43" s="348" t="s">
        <v>990</v>
      </c>
      <c r="AU43" s="349" t="s">
        <v>1386</v>
      </c>
      <c r="AV43" s="348" t="s">
        <v>567</v>
      </c>
      <c r="AW43" s="352" t="s">
        <v>966</v>
      </c>
      <c r="AX43" s="352" t="s">
        <v>966</v>
      </c>
      <c r="AY43" s="352" t="s">
        <v>567</v>
      </c>
      <c r="AZ43" s="352" t="s">
        <v>966</v>
      </c>
      <c r="BA43" s="341" t="s">
        <v>545</v>
      </c>
      <c r="BB43" s="341" t="s">
        <v>995</v>
      </c>
      <c r="BC43" s="361" t="s">
        <v>184</v>
      </c>
      <c r="BD43" s="362" t="s">
        <v>996</v>
      </c>
      <c r="BE43" s="337" t="s">
        <v>860</v>
      </c>
      <c r="BF43" s="341" t="s">
        <v>807</v>
      </c>
      <c r="BG43" s="341" t="s">
        <v>806</v>
      </c>
      <c r="BH43" s="1">
        <v>20899</v>
      </c>
      <c r="BI43" s="352" t="s">
        <v>966</v>
      </c>
      <c r="BJ43" s="274"/>
    </row>
    <row r="44" spans="2:62" x14ac:dyDescent="0.25">
      <c r="B44" s="294" t="s">
        <v>1299</v>
      </c>
      <c r="C44" s="321" t="s">
        <v>468</v>
      </c>
      <c r="D44" s="293" t="s">
        <v>151</v>
      </c>
      <c r="E44" s="293" t="s">
        <v>809</v>
      </c>
      <c r="F44" s="440" t="s">
        <v>1175</v>
      </c>
      <c r="G44" s="440" t="s">
        <v>1176</v>
      </c>
      <c r="H44" s="293" t="s">
        <v>1177</v>
      </c>
      <c r="I44" s="316" t="s">
        <v>1298</v>
      </c>
      <c r="J44" s="316" t="s">
        <v>1178</v>
      </c>
      <c r="K44" s="462" t="s">
        <v>468</v>
      </c>
      <c r="L44" s="293">
        <v>29172</v>
      </c>
      <c r="M44" s="293" t="s">
        <v>966</v>
      </c>
      <c r="N44" s="292" t="s">
        <v>966</v>
      </c>
      <c r="O44" s="3"/>
      <c r="P44" s="273" t="s">
        <v>334</v>
      </c>
      <c r="Q44" s="274" t="s">
        <v>335</v>
      </c>
      <c r="R44" s="269"/>
      <c r="S44" s="269"/>
      <c r="T44" s="280"/>
      <c r="U44" s="262"/>
      <c r="V44" s="267"/>
      <c r="W44" s="267"/>
      <c r="X44" s="370"/>
      <c r="Y44" s="381">
        <v>2031</v>
      </c>
      <c r="Z44" s="370"/>
      <c r="AA44" s="433"/>
      <c r="AB44" s="370"/>
      <c r="AC44" s="370"/>
      <c r="AD44" s="397"/>
      <c r="AE44" s="391"/>
      <c r="AF44" s="393"/>
      <c r="AG44" s="391"/>
      <c r="AH44" s="391"/>
      <c r="AL44" s="351">
        <v>42</v>
      </c>
      <c r="AM44" s="341" t="s">
        <v>943</v>
      </c>
      <c r="AN44" s="343" t="s">
        <v>1361</v>
      </c>
      <c r="AO44" s="341" t="s">
        <v>941</v>
      </c>
      <c r="AP44" s="348" t="s">
        <v>966</v>
      </c>
      <c r="AQ44" s="348" t="s">
        <v>942</v>
      </c>
      <c r="AR44" s="348">
        <v>1</v>
      </c>
      <c r="AS44" s="348"/>
      <c r="AT44" s="348" t="s">
        <v>978</v>
      </c>
      <c r="AU44" s="349" t="s">
        <v>966</v>
      </c>
      <c r="AV44" s="348" t="s">
        <v>567</v>
      </c>
      <c r="AW44" s="352" t="s">
        <v>966</v>
      </c>
      <c r="AX44" s="352" t="s">
        <v>966</v>
      </c>
      <c r="AY44" s="352" t="s">
        <v>567</v>
      </c>
      <c r="AZ44" s="352" t="s">
        <v>966</v>
      </c>
      <c r="BA44" s="341" t="s">
        <v>545</v>
      </c>
      <c r="BB44" s="341" t="s">
        <v>995</v>
      </c>
      <c r="BC44" s="361" t="s">
        <v>184</v>
      </c>
      <c r="BD44" s="362" t="s">
        <v>996</v>
      </c>
      <c r="BE44" s="337" t="s">
        <v>860</v>
      </c>
      <c r="BF44" s="341" t="s">
        <v>807</v>
      </c>
      <c r="BG44" s="341" t="s">
        <v>806</v>
      </c>
      <c r="BH44" s="1">
        <v>20899</v>
      </c>
      <c r="BI44" s="352" t="s">
        <v>966</v>
      </c>
      <c r="BJ44" s="274"/>
    </row>
    <row r="45" spans="2:62" x14ac:dyDescent="0.25">
      <c r="B45" s="294" t="s">
        <v>1301</v>
      </c>
      <c r="C45" s="321" t="s">
        <v>469</v>
      </c>
      <c r="D45" s="293" t="s">
        <v>141</v>
      </c>
      <c r="E45" s="293" t="s">
        <v>809</v>
      </c>
      <c r="F45" s="440" t="s">
        <v>1179</v>
      </c>
      <c r="G45" s="440" t="s">
        <v>1180</v>
      </c>
      <c r="H45" s="293" t="s">
        <v>1181</v>
      </c>
      <c r="I45" s="316" t="s">
        <v>1300</v>
      </c>
      <c r="J45" s="316" t="s">
        <v>1182</v>
      </c>
      <c r="K45" s="462" t="s">
        <v>469</v>
      </c>
      <c r="L45" s="293">
        <v>57785</v>
      </c>
      <c r="M45" s="293" t="s">
        <v>966</v>
      </c>
      <c r="N45" s="292" t="s">
        <v>966</v>
      </c>
      <c r="O45" s="3"/>
      <c r="P45" s="273" t="s">
        <v>336</v>
      </c>
      <c r="Q45" s="274" t="s">
        <v>337</v>
      </c>
      <c r="R45" s="269"/>
      <c r="S45" s="269"/>
      <c r="T45" s="280"/>
      <c r="U45" s="262"/>
      <c r="V45" s="267"/>
      <c r="W45" s="267"/>
      <c r="X45" s="370"/>
      <c r="Y45" s="381">
        <v>2032</v>
      </c>
      <c r="Z45" s="370"/>
      <c r="AA45" s="281"/>
      <c r="AB45" s="370"/>
      <c r="AC45" s="370"/>
      <c r="AD45" s="397"/>
      <c r="AE45" s="391"/>
      <c r="AF45" s="393"/>
      <c r="AG45" s="391"/>
      <c r="AH45" s="391"/>
      <c r="AL45" s="351">
        <v>43</v>
      </c>
      <c r="AM45" s="341" t="s">
        <v>948</v>
      </c>
      <c r="AN45" s="343" t="s">
        <v>1362</v>
      </c>
      <c r="AO45" s="341" t="s">
        <v>796</v>
      </c>
      <c r="AP45" s="348" t="s">
        <v>973</v>
      </c>
      <c r="AQ45" s="348" t="s">
        <v>1363</v>
      </c>
      <c r="AR45" s="348">
        <v>2</v>
      </c>
      <c r="AS45" s="348" t="s">
        <v>820</v>
      </c>
      <c r="AT45" s="348" t="s">
        <v>990</v>
      </c>
      <c r="AU45" s="349" t="s">
        <v>966</v>
      </c>
      <c r="AV45" s="348" t="s">
        <v>567</v>
      </c>
      <c r="AW45" s="352" t="s">
        <v>966</v>
      </c>
      <c r="AX45" s="352" t="s">
        <v>966</v>
      </c>
      <c r="AY45" s="352" t="s">
        <v>567</v>
      </c>
      <c r="AZ45" s="352" t="s">
        <v>966</v>
      </c>
      <c r="BA45" s="341" t="s">
        <v>545</v>
      </c>
      <c r="BB45" s="341" t="s">
        <v>995</v>
      </c>
      <c r="BC45" s="361" t="s">
        <v>184</v>
      </c>
      <c r="BD45" s="362" t="s">
        <v>996</v>
      </c>
      <c r="BE45" s="337" t="s">
        <v>860</v>
      </c>
      <c r="BF45" s="341" t="s">
        <v>807</v>
      </c>
      <c r="BG45" s="341" t="s">
        <v>806</v>
      </c>
      <c r="BH45" s="1">
        <v>20899</v>
      </c>
      <c r="BI45" s="352" t="s">
        <v>966</v>
      </c>
      <c r="BJ45" s="274"/>
    </row>
    <row r="46" spans="2:62" x14ac:dyDescent="0.25">
      <c r="B46" s="294" t="s">
        <v>1303</v>
      </c>
      <c r="C46" s="321" t="s">
        <v>470</v>
      </c>
      <c r="D46" s="293" t="s">
        <v>151</v>
      </c>
      <c r="E46" s="293" t="s">
        <v>809</v>
      </c>
      <c r="F46" s="440" t="s">
        <v>1188</v>
      </c>
      <c r="G46" s="440" t="s">
        <v>1189</v>
      </c>
      <c r="H46" s="293">
        <v>6158375158</v>
      </c>
      <c r="I46" s="316" t="s">
        <v>1302</v>
      </c>
      <c r="J46" s="316" t="s">
        <v>1190</v>
      </c>
      <c r="K46" s="462" t="s">
        <v>470</v>
      </c>
      <c r="L46" s="293">
        <v>37211</v>
      </c>
      <c r="M46" s="293" t="s">
        <v>966</v>
      </c>
      <c r="N46" s="292" t="s">
        <v>966</v>
      </c>
      <c r="O46" s="3"/>
      <c r="P46" s="273" t="s">
        <v>338</v>
      </c>
      <c r="Q46" s="278" t="s">
        <v>723</v>
      </c>
      <c r="R46" s="269"/>
      <c r="S46" s="269"/>
      <c r="T46" s="280"/>
      <c r="U46" s="262"/>
      <c r="V46" s="267"/>
      <c r="W46" s="267"/>
      <c r="X46" s="370"/>
      <c r="Y46" s="381">
        <v>2033</v>
      </c>
      <c r="Z46" s="370"/>
      <c r="AA46" s="433"/>
      <c r="AB46" s="370"/>
      <c r="AC46" s="370"/>
      <c r="AD46" s="397"/>
      <c r="AE46" s="391"/>
      <c r="AF46" s="393"/>
      <c r="AG46" s="391"/>
      <c r="AH46" s="391"/>
      <c r="AL46" s="351">
        <v>44</v>
      </c>
      <c r="AM46" s="341" t="s">
        <v>949</v>
      </c>
      <c r="AN46" s="343" t="s">
        <v>1046</v>
      </c>
      <c r="AO46" s="341" t="s">
        <v>770</v>
      </c>
      <c r="AP46" s="348" t="s">
        <v>1045</v>
      </c>
      <c r="AQ46" s="348" t="s">
        <v>961</v>
      </c>
      <c r="AR46" s="348">
        <v>1</v>
      </c>
      <c r="AS46" s="348" t="s">
        <v>811</v>
      </c>
      <c r="AT46" s="348" t="s">
        <v>966</v>
      </c>
      <c r="AU46" s="349" t="s">
        <v>966</v>
      </c>
      <c r="AV46" s="348" t="s">
        <v>567</v>
      </c>
      <c r="AW46" s="352" t="s">
        <v>966</v>
      </c>
      <c r="AX46" s="352" t="s">
        <v>966</v>
      </c>
      <c r="AY46" s="352" t="s">
        <v>567</v>
      </c>
      <c r="AZ46" s="352" t="s">
        <v>966</v>
      </c>
      <c r="BA46" s="341" t="s">
        <v>545</v>
      </c>
      <c r="BB46" s="341" t="s">
        <v>995</v>
      </c>
      <c r="BC46" s="361" t="s">
        <v>184</v>
      </c>
      <c r="BD46" s="362" t="s">
        <v>996</v>
      </c>
      <c r="BE46" s="337" t="s">
        <v>860</v>
      </c>
      <c r="BF46" s="341" t="s">
        <v>807</v>
      </c>
      <c r="BG46" s="341" t="s">
        <v>806</v>
      </c>
      <c r="BH46" s="1">
        <v>20899</v>
      </c>
      <c r="BI46" s="352" t="s">
        <v>966</v>
      </c>
      <c r="BJ46" s="274"/>
    </row>
    <row r="47" spans="2:62" ht="15.75" thickBot="1" x14ac:dyDescent="0.3">
      <c r="B47" s="294" t="s">
        <v>1305</v>
      </c>
      <c r="C47" s="321" t="s">
        <v>471</v>
      </c>
      <c r="D47" s="293" t="s">
        <v>154</v>
      </c>
      <c r="E47" s="293" t="s">
        <v>809</v>
      </c>
      <c r="F47" s="440" t="s">
        <v>1191</v>
      </c>
      <c r="G47" s="440" t="s">
        <v>1192</v>
      </c>
      <c r="H47" s="293" t="s">
        <v>1193</v>
      </c>
      <c r="I47" s="316" t="s">
        <v>1304</v>
      </c>
      <c r="J47" s="316" t="s">
        <v>1194</v>
      </c>
      <c r="K47" s="462" t="s">
        <v>471</v>
      </c>
      <c r="L47" s="293">
        <v>78942</v>
      </c>
      <c r="M47" s="293" t="s">
        <v>966</v>
      </c>
      <c r="N47" s="292" t="s">
        <v>966</v>
      </c>
      <c r="O47" s="3"/>
      <c r="P47" s="273" t="s">
        <v>339</v>
      </c>
      <c r="Q47" s="278" t="s">
        <v>724</v>
      </c>
      <c r="R47" s="269"/>
      <c r="S47" s="269"/>
      <c r="T47" s="280"/>
      <c r="U47" s="262"/>
      <c r="V47" s="267"/>
      <c r="W47" s="267"/>
      <c r="X47" s="370"/>
      <c r="Y47" s="381">
        <v>2034</v>
      </c>
      <c r="Z47" s="370"/>
      <c r="AA47" s="434"/>
      <c r="AB47" s="370"/>
      <c r="AC47" s="370"/>
      <c r="AD47" s="397"/>
      <c r="AE47" s="391"/>
      <c r="AF47" s="393"/>
      <c r="AG47" s="391"/>
      <c r="AH47" s="391"/>
      <c r="AL47" s="351">
        <v>45</v>
      </c>
      <c r="AM47" s="341" t="s">
        <v>951</v>
      </c>
      <c r="AN47" s="343" t="s">
        <v>1376</v>
      </c>
      <c r="AO47" s="341" t="s">
        <v>950</v>
      </c>
      <c r="AP47" s="348" t="s">
        <v>973</v>
      </c>
      <c r="AQ47" s="348" t="s">
        <v>974</v>
      </c>
      <c r="AR47" s="348">
        <v>2</v>
      </c>
      <c r="AS47" s="348" t="s">
        <v>820</v>
      </c>
      <c r="AT47" s="348" t="s">
        <v>990</v>
      </c>
      <c r="AU47" s="349" t="s">
        <v>966</v>
      </c>
      <c r="AV47" s="348" t="s">
        <v>567</v>
      </c>
      <c r="AW47" s="352" t="s">
        <v>966</v>
      </c>
      <c r="AX47" s="352" t="s">
        <v>966</v>
      </c>
      <c r="AY47" s="352" t="s">
        <v>567</v>
      </c>
      <c r="AZ47" s="352" t="s">
        <v>966</v>
      </c>
      <c r="BA47" s="341" t="s">
        <v>545</v>
      </c>
      <c r="BB47" s="341" t="s">
        <v>995</v>
      </c>
      <c r="BC47" s="361" t="s">
        <v>184</v>
      </c>
      <c r="BD47" s="362" t="s">
        <v>996</v>
      </c>
      <c r="BE47" s="337" t="s">
        <v>860</v>
      </c>
      <c r="BF47" s="341" t="s">
        <v>807</v>
      </c>
      <c r="BG47" s="341" t="s">
        <v>806</v>
      </c>
      <c r="BH47" s="1">
        <v>20899</v>
      </c>
      <c r="BI47" s="352" t="s">
        <v>966</v>
      </c>
      <c r="BJ47" s="274"/>
    </row>
    <row r="48" spans="2:62" ht="15.75" thickTop="1" x14ac:dyDescent="0.25">
      <c r="B48" s="294" t="s">
        <v>1307</v>
      </c>
      <c r="C48" s="321" t="s">
        <v>472</v>
      </c>
      <c r="D48" s="293" t="s">
        <v>158</v>
      </c>
      <c r="E48" s="293" t="s">
        <v>809</v>
      </c>
      <c r="F48" s="440" t="s">
        <v>1458</v>
      </c>
      <c r="G48" s="440" t="s">
        <v>1459</v>
      </c>
      <c r="H48" s="293" t="s">
        <v>1460</v>
      </c>
      <c r="I48" s="316" t="s">
        <v>1306</v>
      </c>
      <c r="J48" s="316" t="s">
        <v>1461</v>
      </c>
      <c r="K48" s="462" t="s">
        <v>472</v>
      </c>
      <c r="L48" s="293">
        <v>84129</v>
      </c>
      <c r="M48" s="293" t="s">
        <v>966</v>
      </c>
      <c r="N48" s="292" t="s">
        <v>966</v>
      </c>
      <c r="P48" s="273" t="s">
        <v>340</v>
      </c>
      <c r="Q48" s="274" t="s">
        <v>341</v>
      </c>
      <c r="R48" s="269"/>
      <c r="S48" s="269"/>
      <c r="T48" s="280"/>
      <c r="U48" s="262"/>
      <c r="V48" s="267"/>
      <c r="W48" s="267"/>
      <c r="X48" s="370"/>
      <c r="Y48" s="381">
        <v>2035</v>
      </c>
      <c r="Z48" s="370"/>
      <c r="AA48" s="370"/>
      <c r="AB48" s="370"/>
      <c r="AC48" s="370"/>
      <c r="AD48" s="397"/>
      <c r="AE48" s="391"/>
      <c r="AF48" s="393"/>
      <c r="AG48" s="391"/>
      <c r="AH48" s="391"/>
      <c r="AL48" s="351">
        <v>46</v>
      </c>
      <c r="AM48" s="341" t="s">
        <v>955</v>
      </c>
      <c r="AN48" s="343" t="s">
        <v>1365</v>
      </c>
      <c r="AO48" s="341" t="s">
        <v>1355</v>
      </c>
      <c r="AP48" s="348" t="s">
        <v>966</v>
      </c>
      <c r="AQ48" s="348" t="s">
        <v>956</v>
      </c>
      <c r="AR48" s="348">
        <v>23</v>
      </c>
      <c r="AS48" s="348" t="s">
        <v>820</v>
      </c>
      <c r="AT48" s="348" t="s">
        <v>990</v>
      </c>
      <c r="AU48" s="349" t="s">
        <v>966</v>
      </c>
      <c r="AV48" s="348" t="s">
        <v>567</v>
      </c>
      <c r="AW48" s="352" t="s">
        <v>966</v>
      </c>
      <c r="AX48" s="352" t="s">
        <v>966</v>
      </c>
      <c r="AY48" s="352" t="s">
        <v>567</v>
      </c>
      <c r="AZ48" s="352" t="s">
        <v>966</v>
      </c>
      <c r="BA48" s="341" t="s">
        <v>545</v>
      </c>
      <c r="BB48" s="341" t="s">
        <v>995</v>
      </c>
      <c r="BC48" s="361" t="s">
        <v>184</v>
      </c>
      <c r="BD48" s="362" t="s">
        <v>996</v>
      </c>
      <c r="BE48" s="337" t="s">
        <v>860</v>
      </c>
      <c r="BF48" s="341" t="s">
        <v>807</v>
      </c>
      <c r="BG48" s="341" t="s">
        <v>806</v>
      </c>
      <c r="BH48" s="1">
        <v>20899</v>
      </c>
      <c r="BI48" s="352" t="s">
        <v>966</v>
      </c>
      <c r="BJ48" s="274"/>
    </row>
    <row r="49" spans="2:62" x14ac:dyDescent="0.25">
      <c r="B49" s="294" t="s">
        <v>1309</v>
      </c>
      <c r="C49" s="321" t="s">
        <v>474</v>
      </c>
      <c r="D49" s="293" t="s">
        <v>151</v>
      </c>
      <c r="E49" s="293" t="s">
        <v>809</v>
      </c>
      <c r="F49" s="440" t="s">
        <v>1203</v>
      </c>
      <c r="G49" s="440" t="s">
        <v>1204</v>
      </c>
      <c r="H49" s="293" t="s">
        <v>1205</v>
      </c>
      <c r="I49" s="316" t="s">
        <v>1308</v>
      </c>
      <c r="J49" s="316" t="s">
        <v>1206</v>
      </c>
      <c r="K49" s="462" t="s">
        <v>474</v>
      </c>
      <c r="L49" s="293">
        <v>23219</v>
      </c>
      <c r="M49" s="293" t="s">
        <v>966</v>
      </c>
      <c r="N49" s="292" t="s">
        <v>966</v>
      </c>
      <c r="O49" s="3"/>
      <c r="P49" s="273" t="s">
        <v>342</v>
      </c>
      <c r="Q49" s="278" t="s">
        <v>725</v>
      </c>
      <c r="R49" s="269"/>
      <c r="S49" s="269"/>
      <c r="T49" s="280"/>
      <c r="U49" s="262"/>
      <c r="V49" s="267"/>
      <c r="W49" s="267"/>
      <c r="X49" s="370"/>
      <c r="Y49" s="381">
        <v>2036</v>
      </c>
      <c r="Z49" s="370"/>
      <c r="AA49" s="370"/>
      <c r="AB49" s="370"/>
      <c r="AC49" s="370"/>
      <c r="AD49" s="397"/>
      <c r="AE49" s="391"/>
      <c r="AF49" s="393"/>
      <c r="AG49" s="391"/>
      <c r="AH49" s="391"/>
      <c r="AL49" s="351">
        <v>47</v>
      </c>
      <c r="AM49" s="341" t="s">
        <v>957</v>
      </c>
      <c r="AN49" s="343" t="s">
        <v>1365</v>
      </c>
      <c r="AO49" s="341" t="s">
        <v>796</v>
      </c>
      <c r="AP49" s="348" t="s">
        <v>966</v>
      </c>
      <c r="AQ49" s="348" t="s">
        <v>956</v>
      </c>
      <c r="AR49" s="348">
        <v>23</v>
      </c>
      <c r="AS49" s="348" t="s">
        <v>820</v>
      </c>
      <c r="AT49" s="348" t="s">
        <v>990</v>
      </c>
      <c r="AU49" s="349" t="s">
        <v>966</v>
      </c>
      <c r="AV49" s="348" t="s">
        <v>567</v>
      </c>
      <c r="AW49" s="352">
        <v>4000</v>
      </c>
      <c r="AX49" s="352">
        <v>45</v>
      </c>
      <c r="AY49" s="352" t="s">
        <v>567</v>
      </c>
      <c r="AZ49" s="352" t="s">
        <v>966</v>
      </c>
      <c r="BA49" s="341" t="s">
        <v>545</v>
      </c>
      <c r="BB49" s="341" t="s">
        <v>995</v>
      </c>
      <c r="BC49" s="361" t="s">
        <v>184</v>
      </c>
      <c r="BD49" s="362" t="s">
        <v>996</v>
      </c>
      <c r="BE49" s="337" t="s">
        <v>860</v>
      </c>
      <c r="BF49" s="341" t="s">
        <v>807</v>
      </c>
      <c r="BG49" s="341" t="s">
        <v>806</v>
      </c>
      <c r="BH49" s="1">
        <v>20899</v>
      </c>
      <c r="BI49" s="352" t="s">
        <v>966</v>
      </c>
      <c r="BJ49" s="274"/>
    </row>
    <row r="50" spans="2:62" x14ac:dyDescent="0.25">
      <c r="B50" s="294" t="s">
        <v>1311</v>
      </c>
      <c r="C50" s="321" t="s">
        <v>481</v>
      </c>
      <c r="D50" s="293" t="s">
        <v>136</v>
      </c>
      <c r="E50" s="293" t="s">
        <v>809</v>
      </c>
      <c r="F50" s="440" t="s">
        <v>966</v>
      </c>
      <c r="G50" s="440" t="s">
        <v>966</v>
      </c>
      <c r="H50" s="293" t="s">
        <v>966</v>
      </c>
      <c r="I50" s="316" t="s">
        <v>1310</v>
      </c>
      <c r="J50" s="316" t="s">
        <v>966</v>
      </c>
      <c r="K50" s="462" t="s">
        <v>481</v>
      </c>
      <c r="L50" s="293" t="s">
        <v>966</v>
      </c>
      <c r="M50" s="293" t="s">
        <v>966</v>
      </c>
      <c r="N50" s="292" t="s">
        <v>966</v>
      </c>
      <c r="P50" s="273" t="s">
        <v>343</v>
      </c>
      <c r="Q50" s="274" t="s">
        <v>344</v>
      </c>
      <c r="R50" s="269"/>
      <c r="S50" s="269"/>
      <c r="T50" s="280"/>
      <c r="U50" s="262"/>
      <c r="V50" s="267"/>
      <c r="W50" s="267"/>
      <c r="X50" s="370"/>
      <c r="Y50" s="381">
        <v>2037</v>
      </c>
      <c r="Z50" s="370"/>
      <c r="AA50" s="370"/>
      <c r="AB50" s="370"/>
      <c r="AC50" s="370"/>
      <c r="AD50" s="397"/>
      <c r="AE50" s="391"/>
      <c r="AF50" s="393"/>
      <c r="AG50" s="391"/>
      <c r="AH50" s="391"/>
      <c r="AL50" s="351">
        <v>48</v>
      </c>
      <c r="AM50" s="341" t="s">
        <v>934</v>
      </c>
      <c r="AN50" s="343" t="s">
        <v>1377</v>
      </c>
      <c r="AO50" s="341" t="s">
        <v>796</v>
      </c>
      <c r="AP50" s="348" t="s">
        <v>966</v>
      </c>
      <c r="AQ50" s="348" t="s">
        <v>907</v>
      </c>
      <c r="AR50" s="348">
        <v>1</v>
      </c>
      <c r="AS50" s="348" t="s">
        <v>820</v>
      </c>
      <c r="AT50" s="348" t="s">
        <v>990</v>
      </c>
      <c r="AU50" s="349" t="s">
        <v>966</v>
      </c>
      <c r="AV50" s="348" t="s">
        <v>567</v>
      </c>
      <c r="AW50" s="352" t="s">
        <v>966</v>
      </c>
      <c r="AX50" s="352" t="s">
        <v>966</v>
      </c>
      <c r="AY50" s="352" t="s">
        <v>567</v>
      </c>
      <c r="AZ50" s="352" t="s">
        <v>966</v>
      </c>
      <c r="BA50" s="341" t="s">
        <v>1390</v>
      </c>
      <c r="BB50" s="341" t="s">
        <v>966</v>
      </c>
      <c r="BC50" s="341" t="s">
        <v>966</v>
      </c>
      <c r="BD50" s="341" t="s">
        <v>966</v>
      </c>
      <c r="BE50" s="341" t="s">
        <v>1314</v>
      </c>
      <c r="BF50" s="341" t="s">
        <v>966</v>
      </c>
      <c r="BG50" s="341" t="s">
        <v>475</v>
      </c>
      <c r="BH50" s="1" t="s">
        <v>966</v>
      </c>
      <c r="BI50" s="352" t="s">
        <v>966</v>
      </c>
      <c r="BJ50" s="274"/>
    </row>
    <row r="51" spans="2:62" x14ac:dyDescent="0.25">
      <c r="B51" s="294" t="s">
        <v>1313</v>
      </c>
      <c r="C51" s="321" t="s">
        <v>473</v>
      </c>
      <c r="D51" s="293" t="s">
        <v>681</v>
      </c>
      <c r="E51" s="293" t="s">
        <v>809</v>
      </c>
      <c r="F51" s="440" t="s">
        <v>1199</v>
      </c>
      <c r="G51" s="440" t="s">
        <v>1200</v>
      </c>
      <c r="H51" s="293" t="s">
        <v>1201</v>
      </c>
      <c r="I51" s="316" t="s">
        <v>1312</v>
      </c>
      <c r="J51" s="316" t="s">
        <v>1202</v>
      </c>
      <c r="K51" s="462" t="s">
        <v>473</v>
      </c>
      <c r="L51" s="293">
        <v>5061</v>
      </c>
      <c r="M51" s="293" t="s">
        <v>966</v>
      </c>
      <c r="N51" s="292" t="s">
        <v>966</v>
      </c>
      <c r="P51" s="273" t="s">
        <v>345</v>
      </c>
      <c r="Q51" s="274" t="s">
        <v>346</v>
      </c>
      <c r="R51" s="269"/>
      <c r="S51" s="269"/>
      <c r="T51" s="280"/>
      <c r="U51" s="262"/>
      <c r="V51" s="267"/>
      <c r="W51" s="267"/>
      <c r="X51" s="370"/>
      <c r="Y51" s="381">
        <v>2038</v>
      </c>
      <c r="Z51" s="370"/>
      <c r="AA51" s="370"/>
      <c r="AB51" s="370"/>
      <c r="AC51" s="370"/>
      <c r="AD51" s="397"/>
      <c r="AE51" s="391"/>
      <c r="AF51" s="393"/>
      <c r="AG51" s="391"/>
      <c r="AH51" s="391"/>
      <c r="AL51" s="351">
        <v>49</v>
      </c>
      <c r="AM51" s="348" t="s">
        <v>966</v>
      </c>
      <c r="AN51" s="343" t="s">
        <v>1378</v>
      </c>
      <c r="AO51" s="341" t="s">
        <v>966</v>
      </c>
      <c r="AP51" s="348" t="s">
        <v>966</v>
      </c>
      <c r="AQ51" s="348" t="s">
        <v>963</v>
      </c>
      <c r="AR51" s="348">
        <v>1</v>
      </c>
      <c r="AS51" s="348"/>
      <c r="AT51" s="348" t="s">
        <v>966</v>
      </c>
      <c r="AU51" s="349" t="s">
        <v>966</v>
      </c>
      <c r="AV51" s="348" t="s">
        <v>567</v>
      </c>
      <c r="AW51" s="352" t="s">
        <v>966</v>
      </c>
      <c r="AX51" s="352" t="s">
        <v>966</v>
      </c>
      <c r="AY51" s="352" t="s">
        <v>567</v>
      </c>
      <c r="AZ51" s="343"/>
      <c r="BA51" s="341" t="s">
        <v>1313</v>
      </c>
      <c r="BB51" s="341" t="s">
        <v>1199</v>
      </c>
      <c r="BC51" s="341" t="s">
        <v>1200</v>
      </c>
      <c r="BD51" s="341" t="s">
        <v>1201</v>
      </c>
      <c r="BE51" s="341" t="s">
        <v>1312</v>
      </c>
      <c r="BF51" s="341" t="s">
        <v>1202</v>
      </c>
      <c r="BG51" s="341" t="s">
        <v>473</v>
      </c>
      <c r="BH51" s="1">
        <v>5061</v>
      </c>
      <c r="BI51" s="343" t="s">
        <v>964</v>
      </c>
      <c r="BJ51" s="274"/>
    </row>
    <row r="52" spans="2:62" x14ac:dyDescent="0.25">
      <c r="B52" s="294" t="s">
        <v>1315</v>
      </c>
      <c r="C52" s="321" t="s">
        <v>475</v>
      </c>
      <c r="D52" s="293" t="s">
        <v>158</v>
      </c>
      <c r="E52" s="293" t="s">
        <v>809</v>
      </c>
      <c r="F52" s="440" t="s">
        <v>1462</v>
      </c>
      <c r="G52" s="440" t="s">
        <v>1463</v>
      </c>
      <c r="H52" s="293" t="s">
        <v>1464</v>
      </c>
      <c r="I52" s="316" t="s">
        <v>1314</v>
      </c>
      <c r="J52" s="316" t="s">
        <v>1465</v>
      </c>
      <c r="K52" s="462" t="s">
        <v>475</v>
      </c>
      <c r="L52" s="293">
        <v>98504</v>
      </c>
      <c r="M52" s="293" t="s">
        <v>966</v>
      </c>
      <c r="N52" s="292" t="s">
        <v>966</v>
      </c>
      <c r="P52" s="273" t="s">
        <v>347</v>
      </c>
      <c r="Q52" s="274" t="s">
        <v>348</v>
      </c>
      <c r="R52" s="274"/>
      <c r="S52" s="274"/>
      <c r="T52" s="280"/>
      <c r="V52" s="281"/>
      <c r="W52" s="281"/>
      <c r="X52" s="204"/>
      <c r="Y52" s="381">
        <v>2039</v>
      </c>
      <c r="Z52" s="204"/>
      <c r="AA52" s="204"/>
      <c r="AB52" s="204"/>
      <c r="AC52" s="204"/>
      <c r="AD52" s="397"/>
      <c r="AE52" s="391"/>
      <c r="AF52" s="393"/>
      <c r="AG52" s="391"/>
      <c r="AH52" s="391"/>
      <c r="AL52" s="351">
        <v>50</v>
      </c>
      <c r="AM52" s="341" t="s">
        <v>939</v>
      </c>
      <c r="AN52" s="343" t="s">
        <v>1379</v>
      </c>
      <c r="AO52" s="341" t="s">
        <v>1355</v>
      </c>
      <c r="AP52" s="348" t="s">
        <v>966</v>
      </c>
      <c r="AQ52" s="348" t="s">
        <v>938</v>
      </c>
      <c r="AR52" s="348">
        <v>34</v>
      </c>
      <c r="AS52" s="348" t="s">
        <v>820</v>
      </c>
      <c r="AT52" s="348" t="s">
        <v>990</v>
      </c>
      <c r="AU52" s="349" t="s">
        <v>1387</v>
      </c>
      <c r="AV52" s="348" t="s">
        <v>567</v>
      </c>
      <c r="AW52" s="352" t="s">
        <v>966</v>
      </c>
      <c r="AX52" s="352" t="s">
        <v>966</v>
      </c>
      <c r="AY52" s="352" t="s">
        <v>567</v>
      </c>
      <c r="AZ52" s="352" t="s">
        <v>966</v>
      </c>
      <c r="BA52" s="341" t="s">
        <v>783</v>
      </c>
      <c r="BB52" s="341"/>
      <c r="BC52" s="341"/>
      <c r="BD52" s="341"/>
      <c r="BE52" s="341"/>
      <c r="BF52" s="341"/>
      <c r="BG52" s="341"/>
      <c r="BI52" s="352" t="s">
        <v>966</v>
      </c>
      <c r="BJ52" s="274"/>
    </row>
    <row r="53" spans="2:62" x14ac:dyDescent="0.25">
      <c r="B53" s="294" t="s">
        <v>1317</v>
      </c>
      <c r="C53" s="321" t="s">
        <v>477</v>
      </c>
      <c r="D53" s="293" t="s">
        <v>141</v>
      </c>
      <c r="E53" s="293" t="s">
        <v>809</v>
      </c>
      <c r="F53" s="440" t="s">
        <v>1210</v>
      </c>
      <c r="G53" s="440" t="s">
        <v>1211</v>
      </c>
      <c r="H53" s="293" t="s">
        <v>1212</v>
      </c>
      <c r="I53" s="316" t="s">
        <v>1316</v>
      </c>
      <c r="J53" s="316" t="s">
        <v>1213</v>
      </c>
      <c r="K53" s="462" t="s">
        <v>477</v>
      </c>
      <c r="L53" s="293">
        <v>53718</v>
      </c>
      <c r="M53" s="293" t="s">
        <v>966</v>
      </c>
      <c r="N53" s="292" t="s">
        <v>966</v>
      </c>
      <c r="P53" s="273" t="s">
        <v>349</v>
      </c>
      <c r="Q53" s="274" t="s">
        <v>350</v>
      </c>
      <c r="R53" s="274"/>
      <c r="S53" s="274"/>
      <c r="T53" s="280"/>
      <c r="V53" s="281"/>
      <c r="W53" s="281"/>
      <c r="X53" s="204"/>
      <c r="Y53" s="381">
        <v>2040</v>
      </c>
      <c r="Z53" s="204"/>
      <c r="AA53" s="204"/>
      <c r="AB53" s="204"/>
      <c r="AC53" s="204"/>
      <c r="AD53" s="406"/>
      <c r="AE53" s="380"/>
      <c r="AF53" s="376"/>
      <c r="AG53" s="380"/>
      <c r="AH53" s="380"/>
      <c r="AL53" s="351">
        <v>51</v>
      </c>
      <c r="AM53" s="341" t="s">
        <v>960</v>
      </c>
      <c r="AN53" s="343" t="s">
        <v>958</v>
      </c>
      <c r="AO53" s="341" t="s">
        <v>796</v>
      </c>
      <c r="AP53" s="348" t="s">
        <v>966</v>
      </c>
      <c r="AQ53" s="348" t="s">
        <v>959</v>
      </c>
      <c r="AR53" s="348">
        <v>1</v>
      </c>
      <c r="AS53" s="348" t="s">
        <v>820</v>
      </c>
      <c r="AT53" s="348" t="s">
        <v>990</v>
      </c>
      <c r="AU53" s="349" t="s">
        <v>1383</v>
      </c>
      <c r="AV53" s="348" t="s">
        <v>567</v>
      </c>
      <c r="AW53" s="352" t="s">
        <v>966</v>
      </c>
      <c r="AX53" s="352" t="s">
        <v>966</v>
      </c>
      <c r="AY53" s="352" t="s">
        <v>567</v>
      </c>
      <c r="AZ53" s="352" t="s">
        <v>966</v>
      </c>
      <c r="BA53" s="341" t="s">
        <v>1290</v>
      </c>
      <c r="BB53" s="341" t="s">
        <v>1424</v>
      </c>
      <c r="BC53" s="341" t="s">
        <v>1425</v>
      </c>
      <c r="BD53" s="341" t="s">
        <v>1522</v>
      </c>
      <c r="BE53" s="341" t="s">
        <v>1289</v>
      </c>
      <c r="BF53" s="341" t="s">
        <v>1153</v>
      </c>
      <c r="BG53" s="341" t="s">
        <v>463</v>
      </c>
      <c r="BH53" s="1">
        <v>43068</v>
      </c>
      <c r="BI53" s="352" t="s">
        <v>966</v>
      </c>
      <c r="BJ53" s="274"/>
    </row>
    <row r="54" spans="2:62" x14ac:dyDescent="0.25">
      <c r="B54" s="294" t="s">
        <v>1319</v>
      </c>
      <c r="C54" s="321" t="s">
        <v>476</v>
      </c>
      <c r="D54" s="293" t="s">
        <v>681</v>
      </c>
      <c r="E54" s="293" t="s">
        <v>809</v>
      </c>
      <c r="F54" s="440" t="s">
        <v>1426</v>
      </c>
      <c r="G54" s="440" t="s">
        <v>1427</v>
      </c>
      <c r="H54" s="293" t="s">
        <v>1207</v>
      </c>
      <c r="I54" s="316" t="s">
        <v>1318</v>
      </c>
      <c r="J54" s="316" t="s">
        <v>1208</v>
      </c>
      <c r="K54" s="462" t="s">
        <v>476</v>
      </c>
      <c r="L54" s="293" t="s">
        <v>1209</v>
      </c>
      <c r="M54" s="293" t="s">
        <v>966</v>
      </c>
      <c r="N54" s="292" t="s">
        <v>966</v>
      </c>
      <c r="O54" s="3"/>
      <c r="P54" s="273" t="s">
        <v>351</v>
      </c>
      <c r="Q54" s="274" t="s">
        <v>352</v>
      </c>
      <c r="R54" s="274"/>
      <c r="S54" s="274"/>
      <c r="T54" s="280"/>
      <c r="V54" s="281"/>
      <c r="W54" s="281"/>
      <c r="X54" s="204"/>
      <c r="Y54" s="381">
        <v>2041</v>
      </c>
      <c r="Z54" s="204"/>
      <c r="AA54" s="204"/>
      <c r="AB54" s="204"/>
      <c r="AC54" s="204"/>
      <c r="AD54" s="406"/>
      <c r="AE54" s="380"/>
      <c r="AF54" s="376"/>
      <c r="AG54" s="380"/>
      <c r="AH54" s="380"/>
      <c r="AL54" s="351">
        <v>52</v>
      </c>
      <c r="AM54" s="341" t="s">
        <v>962</v>
      </c>
      <c r="AN54" s="343" t="s">
        <v>1407</v>
      </c>
      <c r="AO54" s="341" t="s">
        <v>796</v>
      </c>
      <c r="AP54" s="348" t="s">
        <v>966</v>
      </c>
      <c r="AQ54" s="348" t="s">
        <v>961</v>
      </c>
      <c r="AR54" s="348">
        <v>1</v>
      </c>
      <c r="AS54" s="348" t="s">
        <v>820</v>
      </c>
      <c r="AT54" s="348" t="s">
        <v>990</v>
      </c>
      <c r="AU54" s="349" t="s">
        <v>1383</v>
      </c>
      <c r="AV54" s="348" t="s">
        <v>567</v>
      </c>
      <c r="AW54" s="352" t="s">
        <v>966</v>
      </c>
      <c r="AX54" s="352" t="s">
        <v>966</v>
      </c>
      <c r="AY54" s="352" t="s">
        <v>567</v>
      </c>
      <c r="AZ54" s="352" t="s">
        <v>966</v>
      </c>
      <c r="BA54" s="341" t="s">
        <v>1290</v>
      </c>
      <c r="BB54" s="341" t="s">
        <v>1424</v>
      </c>
      <c r="BC54" s="341" t="s">
        <v>1425</v>
      </c>
      <c r="BD54" s="341" t="s">
        <v>1522</v>
      </c>
      <c r="BE54" s="341" t="s">
        <v>1289</v>
      </c>
      <c r="BF54" s="341" t="s">
        <v>1153</v>
      </c>
      <c r="BG54" s="341" t="s">
        <v>463</v>
      </c>
      <c r="BH54" s="1">
        <v>43068</v>
      </c>
      <c r="BI54" s="352" t="s">
        <v>966</v>
      </c>
      <c r="BJ54" s="274"/>
    </row>
    <row r="55" spans="2:62" x14ac:dyDescent="0.25">
      <c r="B55" s="294" t="s">
        <v>1321</v>
      </c>
      <c r="C55" s="321" t="s">
        <v>478</v>
      </c>
      <c r="D55" s="293" t="s">
        <v>158</v>
      </c>
      <c r="E55" s="293" t="s">
        <v>809</v>
      </c>
      <c r="F55" s="440" t="s">
        <v>1466</v>
      </c>
      <c r="G55" s="440" t="s">
        <v>1467</v>
      </c>
      <c r="H55" s="293" t="s">
        <v>1468</v>
      </c>
      <c r="I55" s="316" t="s">
        <v>1320</v>
      </c>
      <c r="J55" s="316" t="s">
        <v>1469</v>
      </c>
      <c r="K55" s="462" t="s">
        <v>478</v>
      </c>
      <c r="L55" s="293">
        <v>82002</v>
      </c>
      <c r="M55" s="293" t="s">
        <v>966</v>
      </c>
      <c r="N55" s="292" t="s">
        <v>966</v>
      </c>
      <c r="O55" s="3"/>
      <c r="P55" s="273" t="s">
        <v>353</v>
      </c>
      <c r="Q55" s="274" t="s">
        <v>354</v>
      </c>
      <c r="R55" s="274"/>
      <c r="S55" s="274"/>
      <c r="T55" s="280"/>
      <c r="V55" s="281"/>
      <c r="W55" s="281"/>
      <c r="X55" s="204"/>
      <c r="Y55" s="381">
        <v>2042</v>
      </c>
      <c r="Z55" s="204"/>
      <c r="AA55" s="204"/>
      <c r="AB55" s="204"/>
      <c r="AC55" s="204"/>
      <c r="AD55" s="406"/>
      <c r="AE55" s="380"/>
      <c r="AF55" s="376"/>
      <c r="AG55" s="380"/>
      <c r="AH55" s="380"/>
      <c r="AL55" s="351">
        <v>53</v>
      </c>
      <c r="AM55" s="341" t="s">
        <v>933</v>
      </c>
      <c r="AN55" s="343" t="s">
        <v>1380</v>
      </c>
      <c r="AO55" s="341" t="s">
        <v>883</v>
      </c>
      <c r="AP55" s="348" t="s">
        <v>1486</v>
      </c>
      <c r="AQ55" s="348" t="s">
        <v>982</v>
      </c>
      <c r="AR55" s="348">
        <v>1</v>
      </c>
      <c r="AS55" s="348" t="s">
        <v>814</v>
      </c>
      <c r="AT55" s="348" t="s">
        <v>990</v>
      </c>
      <c r="AU55" s="349" t="s">
        <v>567</v>
      </c>
      <c r="AV55" s="348" t="s">
        <v>1357</v>
      </c>
      <c r="AW55" s="343" t="s">
        <v>890</v>
      </c>
      <c r="AX55" s="352" t="s">
        <v>966</v>
      </c>
      <c r="AY55" s="516" t="s">
        <v>1528</v>
      </c>
      <c r="AZ55" s="352" t="s">
        <v>966</v>
      </c>
      <c r="BA55" s="341" t="s">
        <v>1281</v>
      </c>
      <c r="BB55" s="341" t="s">
        <v>156</v>
      </c>
      <c r="BC55" s="341" t="s">
        <v>1144</v>
      </c>
      <c r="BD55" s="341" t="s">
        <v>1145</v>
      </c>
      <c r="BE55" s="341" t="s">
        <v>1282</v>
      </c>
      <c r="BF55" s="341" t="s">
        <v>1146</v>
      </c>
      <c r="BG55" s="341" t="s">
        <v>459</v>
      </c>
      <c r="BH55" s="1">
        <v>88003</v>
      </c>
      <c r="BI55" s="352" t="s">
        <v>966</v>
      </c>
      <c r="BJ55" s="274"/>
    </row>
    <row r="56" spans="2:62" ht="15.75" thickBot="1" x14ac:dyDescent="0.3">
      <c r="B56" s="294" t="s">
        <v>1322</v>
      </c>
      <c r="C56" s="270" t="s">
        <v>740</v>
      </c>
      <c r="D56" s="293" t="s">
        <v>158</v>
      </c>
      <c r="E56" s="293" t="s">
        <v>809</v>
      </c>
      <c r="F56" s="440" t="s">
        <v>1470</v>
      </c>
      <c r="G56" s="440" t="s">
        <v>1472</v>
      </c>
      <c r="H56" s="293" t="s">
        <v>1471</v>
      </c>
      <c r="I56" s="316" t="s">
        <v>1323</v>
      </c>
      <c r="J56" s="316" t="s">
        <v>1473</v>
      </c>
      <c r="K56" s="464" t="s">
        <v>433</v>
      </c>
      <c r="L56" s="293" t="s">
        <v>1474</v>
      </c>
      <c r="M56" s="293" t="s">
        <v>966</v>
      </c>
      <c r="N56" s="292" t="s">
        <v>966</v>
      </c>
      <c r="O56" s="3"/>
      <c r="P56" s="273" t="s">
        <v>355</v>
      </c>
      <c r="Q56" s="278" t="s">
        <v>356</v>
      </c>
      <c r="R56" s="282"/>
      <c r="S56" s="282"/>
      <c r="T56" s="280"/>
      <c r="U56" s="3"/>
      <c r="V56" s="283"/>
      <c r="W56" s="283"/>
      <c r="X56" s="301"/>
      <c r="Y56" s="283"/>
      <c r="Z56" s="301"/>
      <c r="AA56" s="301"/>
      <c r="AB56" s="301"/>
      <c r="AC56" s="301"/>
      <c r="AD56" s="407"/>
      <c r="AE56" s="394"/>
      <c r="AF56" s="377"/>
      <c r="AG56" s="394"/>
      <c r="AH56" s="394"/>
      <c r="AL56" s="351">
        <v>54</v>
      </c>
      <c r="AM56" s="341" t="s">
        <v>1381</v>
      </c>
      <c r="AN56" s="343" t="s">
        <v>1373</v>
      </c>
      <c r="AO56" s="341" t="s">
        <v>883</v>
      </c>
      <c r="AP56" s="348" t="s">
        <v>1393</v>
      </c>
      <c r="AQ56" s="348" t="s">
        <v>982</v>
      </c>
      <c r="AR56" s="348">
        <v>1</v>
      </c>
      <c r="AS56" s="348" t="s">
        <v>814</v>
      </c>
      <c r="AT56" s="348" t="s">
        <v>990</v>
      </c>
      <c r="AU56" s="349" t="s">
        <v>567</v>
      </c>
      <c r="AV56" s="348" t="s">
        <v>1357</v>
      </c>
      <c r="AW56" s="343" t="s">
        <v>885</v>
      </c>
      <c r="AX56" s="352" t="s">
        <v>966</v>
      </c>
      <c r="AY56" s="352" t="s">
        <v>567</v>
      </c>
      <c r="AZ56" s="352" t="s">
        <v>966</v>
      </c>
      <c r="BA56" s="341" t="s">
        <v>1278</v>
      </c>
      <c r="BB56" s="341" t="s">
        <v>1040</v>
      </c>
      <c r="BC56" s="341" t="s">
        <v>1142</v>
      </c>
      <c r="BD56" s="341" t="s">
        <v>1042</v>
      </c>
      <c r="BE56" s="341" t="s">
        <v>1277</v>
      </c>
      <c r="BF56" s="341" t="s">
        <v>1143</v>
      </c>
      <c r="BG56" s="341" t="s">
        <v>457</v>
      </c>
      <c r="BH56" s="1">
        <v>3031</v>
      </c>
      <c r="BI56" s="352" t="s">
        <v>966</v>
      </c>
      <c r="BJ56" s="274"/>
    </row>
    <row r="57" spans="2:62" ht="16.5" thickTop="1" thickBot="1" x14ac:dyDescent="0.3">
      <c r="B57" s="322" t="s">
        <v>1324</v>
      </c>
      <c r="C57" s="326" t="s">
        <v>759</v>
      </c>
      <c r="D57" s="323" t="s">
        <v>141</v>
      </c>
      <c r="E57" s="323" t="s">
        <v>1048</v>
      </c>
      <c r="F57" s="441" t="s">
        <v>1328</v>
      </c>
      <c r="G57" s="441" t="s">
        <v>1327</v>
      </c>
      <c r="H57" s="323" t="s">
        <v>1326</v>
      </c>
      <c r="I57" s="324" t="s">
        <v>1325</v>
      </c>
      <c r="J57" s="324" t="s">
        <v>1494</v>
      </c>
      <c r="K57" s="465" t="s">
        <v>441</v>
      </c>
      <c r="L57" s="323">
        <v>60638</v>
      </c>
      <c r="M57" s="323" t="s">
        <v>966</v>
      </c>
      <c r="N57" s="325" t="s">
        <v>966</v>
      </c>
      <c r="O57" s="300"/>
      <c r="P57" s="273" t="s">
        <v>357</v>
      </c>
      <c r="Q57" s="278" t="s">
        <v>358</v>
      </c>
      <c r="R57" s="282"/>
      <c r="S57" s="282"/>
      <c r="T57" s="280"/>
      <c r="U57" s="3"/>
      <c r="V57" s="283"/>
      <c r="W57" s="283"/>
      <c r="X57" s="301"/>
      <c r="Y57" s="283"/>
      <c r="Z57" s="301"/>
      <c r="AA57" s="301"/>
      <c r="AB57" s="301"/>
      <c r="AC57" s="301"/>
      <c r="AD57" s="370"/>
      <c r="AE57" s="370"/>
      <c r="AF57" s="370"/>
      <c r="AG57" s="370"/>
      <c r="AH57" s="370"/>
      <c r="AL57" s="351">
        <v>55</v>
      </c>
      <c r="AM57" s="341" t="s">
        <v>937</v>
      </c>
      <c r="AN57" s="343" t="s">
        <v>1406</v>
      </c>
      <c r="AO57" s="341" t="s">
        <v>936</v>
      </c>
      <c r="AP57" s="348" t="s">
        <v>977</v>
      </c>
      <c r="AQ57" s="348" t="s">
        <v>1011</v>
      </c>
      <c r="AR57" s="348">
        <v>1</v>
      </c>
      <c r="AS57" s="348" t="s">
        <v>820</v>
      </c>
      <c r="AT57" s="348" t="s">
        <v>979</v>
      </c>
      <c r="AU57" s="349" t="s">
        <v>966</v>
      </c>
      <c r="AV57" s="348" t="s">
        <v>567</v>
      </c>
      <c r="AW57" s="352">
        <v>150</v>
      </c>
      <c r="AX57" s="352">
        <v>70</v>
      </c>
      <c r="AY57" s="352" t="s">
        <v>567</v>
      </c>
      <c r="AZ57" s="352" t="s">
        <v>966</v>
      </c>
      <c r="BA57" s="341" t="s">
        <v>1272</v>
      </c>
      <c r="BB57" s="341" t="s">
        <v>1547</v>
      </c>
      <c r="BC57" s="361" t="s">
        <v>1549</v>
      </c>
      <c r="BD57" s="341" t="s">
        <v>1548</v>
      </c>
      <c r="BE57" s="341" t="s">
        <v>1271</v>
      </c>
      <c r="BF57" s="341" t="s">
        <v>1150</v>
      </c>
      <c r="BG57" s="341" t="s">
        <v>461</v>
      </c>
      <c r="BH57" s="1">
        <v>27607</v>
      </c>
      <c r="BI57" s="352" t="s">
        <v>966</v>
      </c>
      <c r="BJ57" s="274"/>
    </row>
    <row r="58" spans="2:62" ht="15.75" thickBot="1" x14ac:dyDescent="0.3">
      <c r="B58" s="322" t="s">
        <v>545</v>
      </c>
      <c r="C58" s="326" t="s">
        <v>181</v>
      </c>
      <c r="D58" s="323" t="s">
        <v>726</v>
      </c>
      <c r="E58" s="323" t="s">
        <v>727</v>
      </c>
      <c r="F58" s="441" t="s">
        <v>183</v>
      </c>
      <c r="G58" s="442" t="s">
        <v>184</v>
      </c>
      <c r="H58" s="323" t="s">
        <v>185</v>
      </c>
      <c r="I58" s="338" t="s">
        <v>860</v>
      </c>
      <c r="J58" s="324" t="s">
        <v>807</v>
      </c>
      <c r="K58" s="323" t="s">
        <v>448</v>
      </c>
      <c r="L58" s="323">
        <v>20899</v>
      </c>
      <c r="M58" s="323"/>
      <c r="N58" s="325"/>
      <c r="O58" s="262"/>
      <c r="P58" s="273" t="s">
        <v>359</v>
      </c>
      <c r="Q58" s="274" t="s">
        <v>360</v>
      </c>
      <c r="R58" s="282"/>
      <c r="S58" s="282"/>
      <c r="T58" s="280"/>
      <c r="U58" s="3"/>
      <c r="V58" s="283"/>
      <c r="W58" s="283"/>
      <c r="X58" s="301"/>
      <c r="Y58" s="283"/>
      <c r="Z58" s="301"/>
      <c r="AA58" s="301"/>
      <c r="AB58" s="301"/>
      <c r="AC58" s="301"/>
      <c r="AD58" s="370"/>
      <c r="AE58" s="370"/>
      <c r="AF58" s="370"/>
      <c r="AG58" s="370"/>
      <c r="AH58" s="370"/>
      <c r="AL58" s="351">
        <v>56</v>
      </c>
      <c r="AM58" s="341" t="s">
        <v>334</v>
      </c>
      <c r="AN58" s="343" t="s">
        <v>1406</v>
      </c>
      <c r="AO58" s="341" t="s">
        <v>940</v>
      </c>
      <c r="AP58" s="348" t="s">
        <v>977</v>
      </c>
      <c r="AQ58" s="348" t="s">
        <v>911</v>
      </c>
      <c r="AR58" s="348">
        <v>1</v>
      </c>
      <c r="AS58" s="348" t="s">
        <v>812</v>
      </c>
      <c r="AT58" s="348" t="s">
        <v>976</v>
      </c>
      <c r="AU58" s="349" t="s">
        <v>966</v>
      </c>
      <c r="AV58" s="348" t="s">
        <v>567</v>
      </c>
      <c r="AW58" s="352" t="s">
        <v>966</v>
      </c>
      <c r="AX58" s="352">
        <v>85</v>
      </c>
      <c r="AY58" s="352" t="s">
        <v>567</v>
      </c>
      <c r="AZ58" s="352" t="s">
        <v>966</v>
      </c>
      <c r="BA58" s="341" t="s">
        <v>1272</v>
      </c>
      <c r="BB58" s="341" t="s">
        <v>1547</v>
      </c>
      <c r="BC58" s="361" t="s">
        <v>1549</v>
      </c>
      <c r="BD58" s="341" t="s">
        <v>1548</v>
      </c>
      <c r="BE58" s="341" t="s">
        <v>1271</v>
      </c>
      <c r="BF58" s="341" t="s">
        <v>1150</v>
      </c>
      <c r="BG58" s="341" t="s">
        <v>461</v>
      </c>
      <c r="BH58" s="1">
        <v>27607</v>
      </c>
      <c r="BI58" s="352" t="s">
        <v>966</v>
      </c>
      <c r="BJ58" s="274"/>
    </row>
    <row r="59" spans="2:62" ht="15.75" thickTop="1" x14ac:dyDescent="0.25">
      <c r="B59" s="285" t="s">
        <v>729</v>
      </c>
      <c r="C59" s="284" t="s">
        <v>728</v>
      </c>
      <c r="D59" s="293" t="s">
        <v>145</v>
      </c>
      <c r="E59" s="293" t="s">
        <v>862</v>
      </c>
      <c r="F59" s="440" t="s">
        <v>966</v>
      </c>
      <c r="G59" s="440" t="s">
        <v>966</v>
      </c>
      <c r="H59" s="293" t="s">
        <v>966</v>
      </c>
      <c r="I59" s="316" t="s">
        <v>966</v>
      </c>
      <c r="J59" s="316" t="s">
        <v>966</v>
      </c>
      <c r="K59" s="293" t="s">
        <v>966</v>
      </c>
      <c r="L59" s="316" t="s">
        <v>966</v>
      </c>
      <c r="M59" s="316" t="s">
        <v>966</v>
      </c>
      <c r="N59" s="425" t="s">
        <v>966</v>
      </c>
      <c r="O59" s="262"/>
      <c r="P59" s="273" t="s">
        <v>361</v>
      </c>
      <c r="Q59" s="278" t="s">
        <v>362</v>
      </c>
      <c r="R59" s="282"/>
      <c r="S59" s="282"/>
      <c r="T59" s="280"/>
      <c r="U59" s="3"/>
      <c r="V59" s="283"/>
      <c r="W59" s="283"/>
      <c r="X59" s="301"/>
      <c r="Y59" s="283"/>
      <c r="Z59" s="301"/>
      <c r="AA59" s="301"/>
      <c r="AB59" s="301"/>
      <c r="AC59" s="301"/>
      <c r="AD59" s="402" t="s">
        <v>1009</v>
      </c>
      <c r="AE59" s="333"/>
      <c r="AF59" s="334"/>
      <c r="AG59" s="505"/>
      <c r="AH59" s="333"/>
      <c r="AL59" s="351">
        <v>57</v>
      </c>
      <c r="AM59" s="341" t="s">
        <v>944</v>
      </c>
      <c r="AN59" s="343" t="s">
        <v>1405</v>
      </c>
      <c r="AO59" s="341" t="s">
        <v>1355</v>
      </c>
      <c r="AP59" s="348" t="s">
        <v>966</v>
      </c>
      <c r="AQ59" s="348" t="s">
        <v>959</v>
      </c>
      <c r="AR59" s="348">
        <v>1</v>
      </c>
      <c r="AS59" s="348"/>
      <c r="AT59" s="348" t="s">
        <v>975</v>
      </c>
      <c r="AU59" s="349" t="s">
        <v>1383</v>
      </c>
      <c r="AV59" s="348" t="s">
        <v>567</v>
      </c>
      <c r="AW59" s="352" t="s">
        <v>966</v>
      </c>
      <c r="AX59" s="352" t="s">
        <v>966</v>
      </c>
      <c r="AY59" s="352" t="s">
        <v>567</v>
      </c>
      <c r="AZ59" s="352" t="s">
        <v>966</v>
      </c>
      <c r="BA59" s="341" t="s">
        <v>1272</v>
      </c>
      <c r="BB59" s="341" t="s">
        <v>1547</v>
      </c>
      <c r="BC59" s="361" t="s">
        <v>1549</v>
      </c>
      <c r="BD59" s="341" t="s">
        <v>1548</v>
      </c>
      <c r="BE59" s="341" t="s">
        <v>1271</v>
      </c>
      <c r="BF59" s="341" t="s">
        <v>1150</v>
      </c>
      <c r="BG59" s="341" t="s">
        <v>461</v>
      </c>
      <c r="BH59" s="1">
        <v>27607</v>
      </c>
      <c r="BI59" s="352" t="s">
        <v>966</v>
      </c>
      <c r="BJ59" s="274"/>
    </row>
    <row r="60" spans="2:62" ht="15.75" thickBot="1" x14ac:dyDescent="0.3">
      <c r="B60" s="294" t="s">
        <v>739</v>
      </c>
      <c r="C60" s="270" t="s">
        <v>1329</v>
      </c>
      <c r="D60" s="293" t="s">
        <v>141</v>
      </c>
      <c r="E60" s="293" t="s">
        <v>862</v>
      </c>
      <c r="F60" s="440" t="s">
        <v>1049</v>
      </c>
      <c r="G60" s="440" t="s">
        <v>1050</v>
      </c>
      <c r="H60" s="293" t="s">
        <v>1051</v>
      </c>
      <c r="I60" s="515" t="s">
        <v>1525</v>
      </c>
      <c r="J60" s="316" t="s">
        <v>1052</v>
      </c>
      <c r="K60" s="293" t="s">
        <v>441</v>
      </c>
      <c r="L60" s="316">
        <v>60085</v>
      </c>
      <c r="M60" s="316" t="s">
        <v>966</v>
      </c>
      <c r="N60" s="426" t="s">
        <v>966</v>
      </c>
      <c r="O60" s="3"/>
      <c r="P60" s="273" t="s">
        <v>363</v>
      </c>
      <c r="Q60" s="274" t="s">
        <v>364</v>
      </c>
      <c r="R60" s="282"/>
      <c r="S60" s="282"/>
      <c r="T60" s="280"/>
      <c r="U60" s="3"/>
      <c r="V60" s="283"/>
      <c r="W60" s="283"/>
      <c r="X60" s="301"/>
      <c r="Y60" s="283"/>
      <c r="Z60" s="301"/>
      <c r="AA60" s="301"/>
      <c r="AB60" s="301"/>
      <c r="AC60" s="301"/>
      <c r="AD60" s="403" t="s">
        <v>104</v>
      </c>
      <c r="AE60" s="404" t="s">
        <v>106</v>
      </c>
      <c r="AF60" s="405" t="s">
        <v>107</v>
      </c>
      <c r="AG60" s="504"/>
      <c r="AH60" s="404" t="s">
        <v>1006</v>
      </c>
      <c r="AL60" s="351">
        <v>58</v>
      </c>
      <c r="AM60" s="341" t="s">
        <v>935</v>
      </c>
      <c r="AN60" s="343" t="s">
        <v>1382</v>
      </c>
      <c r="AO60" s="341" t="s">
        <v>796</v>
      </c>
      <c r="AP60" s="348" t="s">
        <v>980</v>
      </c>
      <c r="AQ60" s="348" t="s">
        <v>981</v>
      </c>
      <c r="AR60" s="348">
        <v>23</v>
      </c>
      <c r="AS60" s="348" t="s">
        <v>820</v>
      </c>
      <c r="AT60" s="348" t="s">
        <v>990</v>
      </c>
      <c r="AU60" s="349" t="s">
        <v>966</v>
      </c>
      <c r="AV60" s="348" t="s">
        <v>567</v>
      </c>
      <c r="AW60" s="352" t="s">
        <v>966</v>
      </c>
      <c r="AX60" s="352" t="s">
        <v>966</v>
      </c>
      <c r="AY60" s="352" t="s">
        <v>567</v>
      </c>
      <c r="AZ60" s="352" t="s">
        <v>966</v>
      </c>
      <c r="BA60" s="341" t="s">
        <v>1267</v>
      </c>
      <c r="BB60" s="341" t="s">
        <v>966</v>
      </c>
      <c r="BC60" s="341" t="s">
        <v>966</v>
      </c>
      <c r="BD60" s="341" t="s">
        <v>966</v>
      </c>
      <c r="BE60" s="341" t="s">
        <v>1266</v>
      </c>
      <c r="BF60" s="341" t="s">
        <v>966</v>
      </c>
      <c r="BG60" s="341" t="s">
        <v>453</v>
      </c>
      <c r="BH60" s="1" t="s">
        <v>966</v>
      </c>
      <c r="BI60" s="352" t="s">
        <v>966</v>
      </c>
      <c r="BJ60" s="274"/>
    </row>
    <row r="61" spans="2:62" x14ac:dyDescent="0.25">
      <c r="B61" s="294" t="s">
        <v>1334</v>
      </c>
      <c r="C61" s="270" t="s">
        <v>1333</v>
      </c>
      <c r="D61" s="293" t="s">
        <v>151</v>
      </c>
      <c r="E61" s="293" t="s">
        <v>862</v>
      </c>
      <c r="F61" s="440" t="s">
        <v>966</v>
      </c>
      <c r="G61" s="440" t="s">
        <v>966</v>
      </c>
      <c r="H61" s="293" t="s">
        <v>966</v>
      </c>
      <c r="I61" s="316" t="s">
        <v>966</v>
      </c>
      <c r="J61" s="316" t="s">
        <v>966</v>
      </c>
      <c r="K61" s="293" t="s">
        <v>966</v>
      </c>
      <c r="L61" s="316" t="s">
        <v>966</v>
      </c>
      <c r="M61" s="316" t="s">
        <v>966</v>
      </c>
      <c r="N61" s="426" t="s">
        <v>966</v>
      </c>
      <c r="O61" s="3"/>
      <c r="P61" s="273" t="s">
        <v>365</v>
      </c>
      <c r="Q61" s="278" t="s">
        <v>366</v>
      </c>
      <c r="R61" s="282"/>
      <c r="S61" s="282"/>
      <c r="T61" s="280"/>
      <c r="U61" s="3"/>
      <c r="V61" s="283"/>
      <c r="W61" s="283"/>
      <c r="X61" s="301"/>
      <c r="Y61" s="283"/>
      <c r="Z61" s="301"/>
      <c r="AA61" s="301"/>
      <c r="AB61" s="301"/>
      <c r="AC61" s="301"/>
      <c r="AD61" s="422" t="s">
        <v>183</v>
      </c>
      <c r="AE61" s="389" t="s">
        <v>184</v>
      </c>
      <c r="AF61" s="392" t="s">
        <v>185</v>
      </c>
      <c r="AG61" s="204"/>
      <c r="AH61" s="27" t="s">
        <v>1002</v>
      </c>
      <c r="AL61" s="351">
        <v>59</v>
      </c>
      <c r="AM61" s="341" t="s">
        <v>954</v>
      </c>
      <c r="AN61" s="343" t="s">
        <v>991</v>
      </c>
      <c r="AO61" s="341" t="s">
        <v>952</v>
      </c>
      <c r="AP61" s="348" t="s">
        <v>953</v>
      </c>
      <c r="AQ61" s="348" t="s">
        <v>972</v>
      </c>
      <c r="AR61" s="348">
        <v>1</v>
      </c>
      <c r="AS61" s="348"/>
      <c r="AT61" s="348" t="s">
        <v>966</v>
      </c>
      <c r="AU61" s="349" t="s">
        <v>567</v>
      </c>
      <c r="AV61" s="348" t="s">
        <v>966</v>
      </c>
      <c r="AW61" s="352" t="s">
        <v>966</v>
      </c>
      <c r="AX61" s="352" t="s">
        <v>966</v>
      </c>
      <c r="AY61" s="352" t="s">
        <v>567</v>
      </c>
      <c r="AZ61" s="352" t="s">
        <v>966</v>
      </c>
      <c r="BA61" s="341" t="s">
        <v>1391</v>
      </c>
      <c r="BB61" s="341"/>
      <c r="BC61" s="341"/>
      <c r="BD61" s="341"/>
      <c r="BE61" s="341"/>
      <c r="BF61" s="341"/>
      <c r="BG61" s="341"/>
      <c r="BI61" s="352" t="s">
        <v>966</v>
      </c>
      <c r="BJ61" s="274"/>
    </row>
    <row r="62" spans="2:62" x14ac:dyDescent="0.25">
      <c r="B62" s="294" t="s">
        <v>746</v>
      </c>
      <c r="C62" s="270" t="s">
        <v>745</v>
      </c>
      <c r="D62" s="293" t="s">
        <v>154</v>
      </c>
      <c r="E62" s="293" t="s">
        <v>862</v>
      </c>
      <c r="F62" s="440" t="s">
        <v>966</v>
      </c>
      <c r="G62" s="440" t="s">
        <v>966</v>
      </c>
      <c r="H62" s="293" t="s">
        <v>966</v>
      </c>
      <c r="I62" s="316" t="s">
        <v>966</v>
      </c>
      <c r="J62" s="316" t="s">
        <v>966</v>
      </c>
      <c r="K62" s="293" t="s">
        <v>966</v>
      </c>
      <c r="L62" s="316" t="s">
        <v>966</v>
      </c>
      <c r="M62" s="316" t="s">
        <v>966</v>
      </c>
      <c r="N62" s="426" t="s">
        <v>966</v>
      </c>
      <c r="O62" s="3"/>
      <c r="P62" s="273" t="s">
        <v>367</v>
      </c>
      <c r="Q62" s="278" t="s">
        <v>368</v>
      </c>
      <c r="R62" s="282"/>
      <c r="S62" s="282"/>
      <c r="T62" s="280"/>
      <c r="U62" s="3"/>
      <c r="V62" s="283"/>
      <c r="W62" s="283"/>
      <c r="X62" s="301"/>
      <c r="Y62" s="283"/>
      <c r="Z62" s="301"/>
      <c r="AA62" s="301"/>
      <c r="AB62" s="301"/>
      <c r="AC62" s="301"/>
      <c r="AD62" s="319" t="s">
        <v>186</v>
      </c>
      <c r="AE62" s="390" t="s">
        <v>187</v>
      </c>
      <c r="AF62" s="392" t="s">
        <v>188</v>
      </c>
      <c r="AG62" s="204"/>
      <c r="AH62" s="27" t="s">
        <v>1002</v>
      </c>
      <c r="AL62" s="351">
        <v>60</v>
      </c>
      <c r="AM62" s="341" t="s">
        <v>947</v>
      </c>
      <c r="AN62" s="343" t="s">
        <v>946</v>
      </c>
      <c r="AO62" s="341" t="s">
        <v>945</v>
      </c>
      <c r="AP62" s="348" t="s">
        <v>966</v>
      </c>
      <c r="AQ62" s="348" t="s">
        <v>959</v>
      </c>
      <c r="AR62" s="348">
        <v>1</v>
      </c>
      <c r="AS62" s="348" t="s">
        <v>820</v>
      </c>
      <c r="AT62" s="348" t="s">
        <v>975</v>
      </c>
      <c r="AU62" s="349" t="s">
        <v>1383</v>
      </c>
      <c r="AV62" s="348" t="s">
        <v>567</v>
      </c>
      <c r="AW62" s="352" t="s">
        <v>966</v>
      </c>
      <c r="AX62" s="352" t="s">
        <v>966</v>
      </c>
      <c r="AY62" s="352" t="s">
        <v>567</v>
      </c>
      <c r="AZ62" s="352" t="s">
        <v>966</v>
      </c>
      <c r="BA62" s="341" t="s">
        <v>1389</v>
      </c>
      <c r="BB62" s="341" t="s">
        <v>1064</v>
      </c>
      <c r="BC62" s="341" t="s">
        <v>1065</v>
      </c>
      <c r="BD62" s="341" t="s">
        <v>1066</v>
      </c>
      <c r="BE62" s="341" t="s">
        <v>1231</v>
      </c>
      <c r="BF62" s="341" t="s">
        <v>1067</v>
      </c>
      <c r="BG62" s="341" t="s">
        <v>434</v>
      </c>
      <c r="BH62" s="1">
        <v>80021</v>
      </c>
      <c r="BI62" s="352" t="s">
        <v>966</v>
      </c>
      <c r="BJ62" s="274"/>
    </row>
    <row r="63" spans="2:62" x14ac:dyDescent="0.25">
      <c r="B63" s="294" t="s">
        <v>747</v>
      </c>
      <c r="C63" s="270" t="s">
        <v>1330</v>
      </c>
      <c r="D63" s="293" t="s">
        <v>141</v>
      </c>
      <c r="E63" s="293" t="s">
        <v>862</v>
      </c>
      <c r="F63" s="440" t="s">
        <v>966</v>
      </c>
      <c r="G63" s="440" t="s">
        <v>966</v>
      </c>
      <c r="H63" s="293" t="s">
        <v>966</v>
      </c>
      <c r="I63" s="316" t="s">
        <v>966</v>
      </c>
      <c r="J63" s="316" t="s">
        <v>966</v>
      </c>
      <c r="K63" s="293" t="s">
        <v>966</v>
      </c>
      <c r="L63" s="316" t="s">
        <v>966</v>
      </c>
      <c r="M63" s="316" t="s">
        <v>966</v>
      </c>
      <c r="N63" s="426" t="s">
        <v>966</v>
      </c>
      <c r="P63" s="273" t="s">
        <v>369</v>
      </c>
      <c r="Q63" s="278" t="s">
        <v>370</v>
      </c>
      <c r="R63" s="282"/>
      <c r="S63" s="282"/>
      <c r="T63" s="280"/>
      <c r="U63" s="3"/>
      <c r="V63" s="283"/>
      <c r="W63" s="283"/>
      <c r="X63" s="301"/>
      <c r="Y63" s="283"/>
      <c r="Z63" s="301"/>
      <c r="AA63" s="301"/>
      <c r="AB63" s="301"/>
      <c r="AC63" s="301"/>
      <c r="AD63" s="319" t="s">
        <v>1003</v>
      </c>
      <c r="AE63" s="390" t="s">
        <v>1000</v>
      </c>
      <c r="AF63" s="392" t="s">
        <v>1001</v>
      </c>
      <c r="AG63" s="204"/>
      <c r="AH63" s="27" t="s">
        <v>1002</v>
      </c>
      <c r="AL63" s="351">
        <v>61</v>
      </c>
      <c r="AM63" s="349">
        <v>950</v>
      </c>
      <c r="AN63" s="341" t="s">
        <v>1515</v>
      </c>
      <c r="AO63" s="341" t="s">
        <v>770</v>
      </c>
      <c r="AP63" s="348" t="s">
        <v>1516</v>
      </c>
      <c r="AQ63" s="348" t="s">
        <v>1517</v>
      </c>
      <c r="AR63" s="348">
        <v>7</v>
      </c>
      <c r="AS63" s="348" t="s">
        <v>820</v>
      </c>
      <c r="AT63" s="348" t="s">
        <v>990</v>
      </c>
      <c r="AU63" s="349" t="s">
        <v>1518</v>
      </c>
      <c r="AV63" s="348" t="s">
        <v>567</v>
      </c>
      <c r="AW63" s="343">
        <v>2500</v>
      </c>
      <c r="AX63" s="352">
        <v>150</v>
      </c>
      <c r="AY63" s="352" t="s">
        <v>567</v>
      </c>
      <c r="AZ63" s="343" t="s">
        <v>966</v>
      </c>
      <c r="BA63" s="341" t="s">
        <v>1519</v>
      </c>
      <c r="BB63" s="341" t="s">
        <v>1520</v>
      </c>
      <c r="BC63" s="341" t="s">
        <v>1521</v>
      </c>
      <c r="BD63" s="341" t="s">
        <v>1522</v>
      </c>
      <c r="BE63" s="341" t="s">
        <v>1523</v>
      </c>
      <c r="BF63" s="341" t="s">
        <v>1153</v>
      </c>
      <c r="BG63" s="341" t="s">
        <v>463</v>
      </c>
      <c r="BH63" s="1">
        <v>43068</v>
      </c>
      <c r="BI63" s="343" t="s">
        <v>966</v>
      </c>
      <c r="BJ63" s="274"/>
    </row>
    <row r="64" spans="2:62" x14ac:dyDescent="0.25">
      <c r="B64" s="453" t="s">
        <v>752</v>
      </c>
      <c r="C64" s="451" t="s">
        <v>1331</v>
      </c>
      <c r="D64" s="293" t="s">
        <v>681</v>
      </c>
      <c r="E64" s="293" t="s">
        <v>862</v>
      </c>
      <c r="F64" s="440" t="s">
        <v>966</v>
      </c>
      <c r="G64" s="440" t="s">
        <v>966</v>
      </c>
      <c r="H64" s="293" t="s">
        <v>966</v>
      </c>
      <c r="I64" s="316" t="s">
        <v>966</v>
      </c>
      <c r="J64" s="316" t="s">
        <v>966</v>
      </c>
      <c r="K64" s="293" t="s">
        <v>966</v>
      </c>
      <c r="L64" s="316" t="s">
        <v>966</v>
      </c>
      <c r="M64" s="316" t="s">
        <v>966</v>
      </c>
      <c r="N64" s="426" t="s">
        <v>966</v>
      </c>
      <c r="O64" s="262"/>
      <c r="P64" s="273" t="s">
        <v>371</v>
      </c>
      <c r="Q64" s="278" t="s">
        <v>741</v>
      </c>
      <c r="R64" s="282"/>
      <c r="S64" s="282"/>
      <c r="T64" s="280"/>
      <c r="U64" s="3"/>
      <c r="V64" s="283"/>
      <c r="W64" s="283"/>
      <c r="X64" s="301"/>
      <c r="Y64" s="283"/>
      <c r="Z64" s="301"/>
      <c r="AA64" s="301"/>
      <c r="AB64" s="301"/>
      <c r="AC64" s="301"/>
      <c r="AD64" s="435" t="s">
        <v>1034</v>
      </c>
      <c r="AE64" s="435" t="s">
        <v>1036</v>
      </c>
      <c r="AF64" s="435" t="s">
        <v>1037</v>
      </c>
      <c r="AG64" s="435"/>
      <c r="AH64" s="435" t="s">
        <v>1035</v>
      </c>
      <c r="AL64" s="351">
        <v>62</v>
      </c>
      <c r="AM64" s="518" t="s">
        <v>930</v>
      </c>
      <c r="AN64" s="518" t="s">
        <v>1535</v>
      </c>
      <c r="AO64" s="518"/>
      <c r="AP64" s="516"/>
      <c r="AQ64" s="516">
        <v>250</v>
      </c>
      <c r="AR64" s="516">
        <v>1</v>
      </c>
      <c r="AS64" s="516" t="s">
        <v>820</v>
      </c>
      <c r="AT64" s="516" t="s">
        <v>975</v>
      </c>
      <c r="AU64" s="519"/>
      <c r="AV64" s="516"/>
      <c r="AW64" s="518"/>
      <c r="AX64" s="516"/>
      <c r="AY64" s="516" t="s">
        <v>567</v>
      </c>
      <c r="AZ64" s="518"/>
      <c r="BA64" s="518" t="s">
        <v>1536</v>
      </c>
      <c r="BB64" s="518"/>
      <c r="BC64" s="361" t="s">
        <v>170</v>
      </c>
      <c r="BD64" s="518" t="s">
        <v>171</v>
      </c>
      <c r="BE64" s="518" t="s">
        <v>1537</v>
      </c>
      <c r="BF64" s="518" t="s">
        <v>1538</v>
      </c>
      <c r="BG64" s="518" t="s">
        <v>451</v>
      </c>
      <c r="BH64" s="1">
        <v>55306</v>
      </c>
      <c r="BI64" s="518" t="s">
        <v>1539</v>
      </c>
      <c r="BJ64" s="274"/>
    </row>
    <row r="65" spans="2:62" x14ac:dyDescent="0.25">
      <c r="B65" s="294" t="s">
        <v>753</v>
      </c>
      <c r="C65" s="270" t="s">
        <v>1332</v>
      </c>
      <c r="D65" s="293" t="s">
        <v>136</v>
      </c>
      <c r="E65" s="293" t="s">
        <v>862</v>
      </c>
      <c r="F65" s="440" t="s">
        <v>966</v>
      </c>
      <c r="G65" s="440" t="s">
        <v>966</v>
      </c>
      <c r="H65" s="293" t="s">
        <v>966</v>
      </c>
      <c r="I65" s="316" t="s">
        <v>966</v>
      </c>
      <c r="J65" s="316" t="s">
        <v>966</v>
      </c>
      <c r="K65" s="293" t="s">
        <v>966</v>
      </c>
      <c r="L65" s="316" t="s">
        <v>966</v>
      </c>
      <c r="M65" s="316" t="s">
        <v>966</v>
      </c>
      <c r="N65" s="426" t="s">
        <v>966</v>
      </c>
      <c r="P65" s="273" t="s">
        <v>372</v>
      </c>
      <c r="Q65" s="278" t="s">
        <v>373</v>
      </c>
      <c r="R65" s="282"/>
      <c r="S65" s="282"/>
      <c r="T65" s="280"/>
      <c r="U65" s="3"/>
      <c r="V65" s="283"/>
      <c r="W65" s="283"/>
      <c r="X65" s="301"/>
      <c r="Y65" s="283"/>
      <c r="Z65" s="301"/>
      <c r="AA65" s="301"/>
      <c r="AB65" s="301"/>
      <c r="AC65" s="301"/>
      <c r="AD65" s="397"/>
      <c r="AE65" s="391"/>
      <c r="AF65" s="393"/>
      <c r="AG65" s="391"/>
      <c r="AH65" s="391"/>
      <c r="AL65" s="351">
        <v>63</v>
      </c>
      <c r="AM65" s="341" t="s">
        <v>1540</v>
      </c>
      <c r="AN65" s="341" t="s">
        <v>1541</v>
      </c>
      <c r="AO65" s="341" t="s">
        <v>1355</v>
      </c>
      <c r="AP65" s="348" t="s">
        <v>1027</v>
      </c>
      <c r="AQ65" s="348" t="s">
        <v>911</v>
      </c>
      <c r="AR65" s="348">
        <v>1</v>
      </c>
      <c r="AS65" s="348" t="s">
        <v>820</v>
      </c>
      <c r="AT65" s="348" t="s">
        <v>990</v>
      </c>
      <c r="AU65" s="349" t="s">
        <v>1383</v>
      </c>
      <c r="AV65" s="348" t="s">
        <v>567</v>
      </c>
      <c r="AW65" s="343">
        <v>1500</v>
      </c>
      <c r="AX65" s="352">
        <v>60</v>
      </c>
      <c r="AY65" s="352" t="s">
        <v>567</v>
      </c>
      <c r="AZ65" s="343"/>
      <c r="BA65" s="341" t="s">
        <v>1542</v>
      </c>
      <c r="BB65" s="341" t="s">
        <v>1543</v>
      </c>
      <c r="BC65" s="341" t="s">
        <v>1102</v>
      </c>
      <c r="BD65" s="341" t="s">
        <v>1544</v>
      </c>
      <c r="BE65" s="341" t="s">
        <v>1545</v>
      </c>
      <c r="BF65" s="341" t="s">
        <v>1078</v>
      </c>
      <c r="BG65" s="341" t="s">
        <v>442</v>
      </c>
      <c r="BH65" s="1">
        <v>46219</v>
      </c>
      <c r="BI65" s="343"/>
      <c r="BJ65" s="274"/>
    </row>
    <row r="66" spans="2:62" x14ac:dyDescent="0.25">
      <c r="B66" s="294" t="s">
        <v>755</v>
      </c>
      <c r="C66" s="270" t="s">
        <v>754</v>
      </c>
      <c r="D66" s="293" t="s">
        <v>151</v>
      </c>
      <c r="E66" s="293" t="s">
        <v>862</v>
      </c>
      <c r="F66" s="440" t="s">
        <v>1068</v>
      </c>
      <c r="G66" s="440" t="s">
        <v>1069</v>
      </c>
      <c r="H66" s="293" t="s">
        <v>1070</v>
      </c>
      <c r="I66" s="316" t="s">
        <v>1071</v>
      </c>
      <c r="J66" s="316" t="s">
        <v>1072</v>
      </c>
      <c r="K66" s="293" t="s">
        <v>438</v>
      </c>
      <c r="L66" s="316">
        <v>31028</v>
      </c>
      <c r="M66" s="316" t="s">
        <v>966</v>
      </c>
      <c r="N66" s="426" t="s">
        <v>966</v>
      </c>
      <c r="O66" s="262"/>
      <c r="P66" s="273" t="s">
        <v>374</v>
      </c>
      <c r="Q66" s="278" t="s">
        <v>742</v>
      </c>
      <c r="R66" s="282"/>
      <c r="S66" s="282"/>
      <c r="T66" s="280"/>
      <c r="U66" s="3"/>
      <c r="V66" s="283"/>
      <c r="W66" s="283"/>
      <c r="X66" s="301"/>
      <c r="Y66" s="3"/>
      <c r="Z66" s="301"/>
      <c r="AA66" s="301"/>
      <c r="AB66" s="301"/>
      <c r="AC66" s="301"/>
      <c r="AD66" s="397"/>
      <c r="AE66" s="391"/>
      <c r="AF66" s="393"/>
      <c r="AG66" s="391"/>
      <c r="AH66" s="391"/>
      <c r="AL66" s="351">
        <v>64</v>
      </c>
      <c r="AM66" s="349">
        <v>102</v>
      </c>
      <c r="AN66" s="341" t="s">
        <v>1555</v>
      </c>
      <c r="AO66" s="341" t="s">
        <v>796</v>
      </c>
      <c r="AP66" s="348" t="s">
        <v>966</v>
      </c>
      <c r="AQ66" s="348" t="s">
        <v>1556</v>
      </c>
      <c r="AR66" s="348"/>
      <c r="AS66" s="348" t="s">
        <v>812</v>
      </c>
      <c r="AT66" s="348" t="s">
        <v>975</v>
      </c>
      <c r="AU66" s="349" t="s">
        <v>1557</v>
      </c>
      <c r="AV66" s="348" t="s">
        <v>567</v>
      </c>
      <c r="AW66" s="343">
        <v>200</v>
      </c>
      <c r="AX66" s="352">
        <v>75</v>
      </c>
      <c r="AY66" s="352" t="s">
        <v>567</v>
      </c>
      <c r="AZ66" s="343"/>
      <c r="BA66" s="341" t="s">
        <v>1263</v>
      </c>
      <c r="BB66" s="341" t="s">
        <v>147</v>
      </c>
      <c r="BC66" s="341" t="s">
        <v>1558</v>
      </c>
      <c r="BD66" s="341" t="s">
        <v>149</v>
      </c>
      <c r="BE66" s="341" t="s">
        <v>1559</v>
      </c>
      <c r="BF66" s="341" t="s">
        <v>1560</v>
      </c>
      <c r="BG66" s="341" t="s">
        <v>447</v>
      </c>
      <c r="BH66" s="1" t="s">
        <v>1561</v>
      </c>
      <c r="BI66" s="343"/>
      <c r="BJ66" s="274"/>
    </row>
    <row r="67" spans="2:62" x14ac:dyDescent="0.25">
      <c r="B67" s="294" t="s">
        <v>756</v>
      </c>
      <c r="C67" s="270" t="s">
        <v>1335</v>
      </c>
      <c r="D67" s="293" t="s">
        <v>141</v>
      </c>
      <c r="E67" s="293" t="s">
        <v>862</v>
      </c>
      <c r="F67" s="440" t="s">
        <v>966</v>
      </c>
      <c r="G67" s="440" t="s">
        <v>966</v>
      </c>
      <c r="H67" s="293" t="s">
        <v>966</v>
      </c>
      <c r="I67" s="316" t="s">
        <v>966</v>
      </c>
      <c r="J67" s="316" t="s">
        <v>966</v>
      </c>
      <c r="K67" s="293" t="s">
        <v>966</v>
      </c>
      <c r="L67" s="316" t="s">
        <v>966</v>
      </c>
      <c r="M67" s="316" t="s">
        <v>966</v>
      </c>
      <c r="N67" s="426" t="s">
        <v>966</v>
      </c>
      <c r="O67" s="262"/>
      <c r="P67" s="273" t="s">
        <v>375</v>
      </c>
      <c r="Q67" s="278" t="s">
        <v>376</v>
      </c>
      <c r="R67" s="282"/>
      <c r="S67" s="282"/>
      <c r="T67" s="280"/>
      <c r="U67" s="3"/>
      <c r="V67" s="283"/>
      <c r="W67" s="283"/>
      <c r="X67" s="301"/>
      <c r="Y67" s="3"/>
      <c r="Z67" s="301"/>
      <c r="AA67" s="301"/>
      <c r="AB67" s="301"/>
      <c r="AC67" s="301"/>
      <c r="AD67" s="397"/>
      <c r="AE67" s="391"/>
      <c r="AF67" s="393"/>
      <c r="AG67" s="391"/>
      <c r="AH67" s="391"/>
      <c r="AL67" s="351">
        <v>65</v>
      </c>
      <c r="AM67" s="341" t="s">
        <v>1575</v>
      </c>
      <c r="AN67" s="341" t="s">
        <v>1576</v>
      </c>
      <c r="AO67" s="341" t="s">
        <v>1577</v>
      </c>
      <c r="AP67" s="348" t="s">
        <v>1578</v>
      </c>
      <c r="AQ67" s="348" t="s">
        <v>315</v>
      </c>
      <c r="AR67" s="348">
        <v>1</v>
      </c>
      <c r="AS67" s="348" t="s">
        <v>816</v>
      </c>
      <c r="AT67" s="348" t="s">
        <v>567</v>
      </c>
      <c r="AU67" s="349" t="s">
        <v>567</v>
      </c>
      <c r="AV67" s="348" t="s">
        <v>567</v>
      </c>
      <c r="AW67" s="343">
        <v>350</v>
      </c>
      <c r="AX67" s="352">
        <v>30</v>
      </c>
      <c r="AY67" s="352" t="s">
        <v>567</v>
      </c>
      <c r="AZ67" s="343"/>
      <c r="BA67" s="341" t="s">
        <v>1035</v>
      </c>
      <c r="BB67" s="341" t="s">
        <v>1579</v>
      </c>
      <c r="BC67" s="341" t="s">
        <v>1036</v>
      </c>
      <c r="BD67" s="341" t="s">
        <v>1580</v>
      </c>
      <c r="BE67" s="341" t="s">
        <v>1581</v>
      </c>
      <c r="BF67" s="341" t="s">
        <v>1582</v>
      </c>
      <c r="BG67" s="341" t="s">
        <v>466</v>
      </c>
      <c r="BH67" s="1">
        <v>17125</v>
      </c>
      <c r="BI67" s="343"/>
      <c r="BJ67" s="274"/>
    </row>
    <row r="68" spans="2:62" x14ac:dyDescent="0.25">
      <c r="B68" s="294" t="s">
        <v>757</v>
      </c>
      <c r="C68" s="270" t="s">
        <v>1336</v>
      </c>
      <c r="D68" s="293" t="s">
        <v>136</v>
      </c>
      <c r="E68" s="293" t="s">
        <v>862</v>
      </c>
      <c r="F68" s="440" t="s">
        <v>966</v>
      </c>
      <c r="G68" s="440" t="s">
        <v>966</v>
      </c>
      <c r="H68" s="293" t="s">
        <v>966</v>
      </c>
      <c r="I68" s="316" t="s">
        <v>966</v>
      </c>
      <c r="J68" s="316" t="s">
        <v>966</v>
      </c>
      <c r="K68" s="293" t="s">
        <v>966</v>
      </c>
      <c r="L68" s="316" t="s">
        <v>966</v>
      </c>
      <c r="M68" s="316" t="s">
        <v>966</v>
      </c>
      <c r="N68" s="426" t="s">
        <v>966</v>
      </c>
      <c r="O68" s="3"/>
      <c r="P68" s="273" t="s">
        <v>377</v>
      </c>
      <c r="Q68" s="278" t="s">
        <v>378</v>
      </c>
      <c r="R68" s="282"/>
      <c r="S68" s="282"/>
      <c r="T68" s="280"/>
      <c r="U68" s="3"/>
      <c r="V68" s="283"/>
      <c r="W68" s="283"/>
      <c r="X68" s="301"/>
      <c r="Y68" s="3"/>
      <c r="Z68" s="301"/>
      <c r="AA68" s="301"/>
      <c r="AB68" s="301"/>
      <c r="AC68" s="301"/>
      <c r="AD68" s="397"/>
      <c r="AE68" s="391"/>
      <c r="AF68" s="393"/>
      <c r="AG68" s="391"/>
      <c r="AH68" s="391"/>
      <c r="AL68" s="351">
        <v>66</v>
      </c>
      <c r="AM68" s="341" t="s">
        <v>1583</v>
      </c>
      <c r="AN68" s="341" t="s">
        <v>1576</v>
      </c>
      <c r="AO68" s="341" t="s">
        <v>1584</v>
      </c>
      <c r="AP68" s="348" t="s">
        <v>1585</v>
      </c>
      <c r="AQ68" s="348" t="s">
        <v>315</v>
      </c>
      <c r="AR68" s="348">
        <v>1</v>
      </c>
      <c r="AS68" s="348" t="s">
        <v>816</v>
      </c>
      <c r="AT68" s="348" t="s">
        <v>567</v>
      </c>
      <c r="AU68" s="349" t="s">
        <v>567</v>
      </c>
      <c r="AV68" s="348" t="s">
        <v>567</v>
      </c>
      <c r="AW68" s="343">
        <v>350</v>
      </c>
      <c r="AX68" s="352">
        <v>30</v>
      </c>
      <c r="AY68" s="352" t="s">
        <v>567</v>
      </c>
      <c r="AZ68" s="343"/>
      <c r="BA68" s="341" t="s">
        <v>1586</v>
      </c>
      <c r="BB68" s="341" t="s">
        <v>1230</v>
      </c>
      <c r="BC68" s="341" t="s">
        <v>1430</v>
      </c>
      <c r="BD68" s="341" t="s">
        <v>1587</v>
      </c>
      <c r="BE68" s="341" t="s">
        <v>1588</v>
      </c>
      <c r="BF68" s="341" t="s">
        <v>1487</v>
      </c>
      <c r="BG68" s="341" t="s">
        <v>433</v>
      </c>
      <c r="BH68" s="1">
        <v>95828</v>
      </c>
      <c r="BI68" s="343"/>
      <c r="BJ68" s="274"/>
    </row>
    <row r="69" spans="2:62" x14ac:dyDescent="0.25">
      <c r="B69" s="294" t="s">
        <v>1337</v>
      </c>
      <c r="C69" s="270" t="s">
        <v>1338</v>
      </c>
      <c r="D69" s="293" t="s">
        <v>151</v>
      </c>
      <c r="E69" s="293" t="s">
        <v>862</v>
      </c>
      <c r="F69" s="440" t="s">
        <v>966</v>
      </c>
      <c r="G69" s="440" t="s">
        <v>966</v>
      </c>
      <c r="H69" s="293" t="s">
        <v>966</v>
      </c>
      <c r="I69" s="316" t="s">
        <v>966</v>
      </c>
      <c r="J69" s="316" t="s">
        <v>966</v>
      </c>
      <c r="K69" s="293" t="s">
        <v>966</v>
      </c>
      <c r="L69" s="316" t="s">
        <v>966</v>
      </c>
      <c r="M69" s="316" t="s">
        <v>966</v>
      </c>
      <c r="N69" s="426" t="s">
        <v>966</v>
      </c>
      <c r="O69" s="262"/>
      <c r="P69" s="273" t="s">
        <v>379</v>
      </c>
      <c r="Q69" s="274" t="s">
        <v>380</v>
      </c>
      <c r="R69" s="282"/>
      <c r="S69" s="282"/>
      <c r="T69" s="280"/>
      <c r="U69" s="3"/>
      <c r="V69" s="283"/>
      <c r="W69" s="283"/>
      <c r="X69" s="301"/>
      <c r="Y69" s="3"/>
      <c r="Z69" s="301"/>
      <c r="AA69" s="301"/>
      <c r="AB69" s="301"/>
      <c r="AC69" s="301"/>
      <c r="AD69" s="397"/>
      <c r="AE69" s="391"/>
      <c r="AF69" s="393"/>
      <c r="AG69" s="391"/>
      <c r="AH69" s="391"/>
      <c r="AL69" s="351">
        <v>67</v>
      </c>
      <c r="AM69" s="341"/>
      <c r="AN69" s="341"/>
      <c r="AO69" s="341"/>
      <c r="AP69" s="348"/>
      <c r="AQ69" s="348"/>
      <c r="AR69" s="348"/>
      <c r="AS69" s="348"/>
      <c r="AT69" s="348"/>
      <c r="AU69" s="349"/>
      <c r="AV69" s="348"/>
      <c r="AW69" s="343"/>
      <c r="AX69" s="352"/>
      <c r="AY69" s="352" t="s">
        <v>567</v>
      </c>
      <c r="AZ69" s="343"/>
      <c r="BA69" s="341"/>
      <c r="BB69" s="341"/>
      <c r="BC69" s="341"/>
      <c r="BD69" s="341"/>
      <c r="BE69" s="341"/>
      <c r="BF69" s="341"/>
      <c r="BG69" s="341"/>
      <c r="BI69" s="343"/>
      <c r="BJ69" s="274"/>
    </row>
    <row r="70" spans="2:62" x14ac:dyDescent="0.25">
      <c r="B70" s="294" t="s">
        <v>767</v>
      </c>
      <c r="C70" s="270" t="s">
        <v>766</v>
      </c>
      <c r="D70" s="293" t="s">
        <v>136</v>
      </c>
      <c r="E70" s="293" t="s">
        <v>862</v>
      </c>
      <c r="F70" s="440" t="s">
        <v>966</v>
      </c>
      <c r="G70" s="440" t="s">
        <v>966</v>
      </c>
      <c r="H70" s="293" t="s">
        <v>966</v>
      </c>
      <c r="I70" s="316" t="s">
        <v>966</v>
      </c>
      <c r="J70" s="316" t="s">
        <v>966</v>
      </c>
      <c r="K70" s="293" t="s">
        <v>966</v>
      </c>
      <c r="L70" s="316" t="s">
        <v>966</v>
      </c>
      <c r="M70" s="316" t="s">
        <v>966</v>
      </c>
      <c r="N70" s="426" t="s">
        <v>966</v>
      </c>
      <c r="O70" s="262"/>
      <c r="P70" s="273" t="s">
        <v>750</v>
      </c>
      <c r="Q70" s="278" t="s">
        <v>751</v>
      </c>
      <c r="R70" s="282"/>
      <c r="S70" s="282"/>
      <c r="T70" s="280"/>
      <c r="U70" s="3"/>
      <c r="V70" s="283"/>
      <c r="W70" s="283"/>
      <c r="X70" s="301"/>
      <c r="Z70" s="301"/>
      <c r="AA70" s="301"/>
      <c r="AB70" s="301"/>
      <c r="AC70" s="301"/>
      <c r="AD70" s="397"/>
      <c r="AE70" s="391"/>
      <c r="AF70" s="393"/>
      <c r="AG70" s="391"/>
      <c r="AH70" s="391"/>
      <c r="AL70" s="351">
        <v>68</v>
      </c>
      <c r="AM70" s="341"/>
      <c r="AN70" s="341"/>
      <c r="AO70" s="341"/>
      <c r="AP70" s="348"/>
      <c r="AQ70" s="348"/>
      <c r="AR70" s="348"/>
      <c r="AS70" s="348"/>
      <c r="AT70" s="348"/>
      <c r="AU70" s="349"/>
      <c r="AV70" s="348"/>
      <c r="AW70" s="343"/>
      <c r="AX70" s="352"/>
      <c r="AY70" s="352" t="s">
        <v>567</v>
      </c>
      <c r="AZ70" s="343"/>
      <c r="BA70" s="341"/>
      <c r="BB70" s="341"/>
      <c r="BC70" s="341"/>
      <c r="BD70" s="341"/>
      <c r="BE70" s="341"/>
      <c r="BF70" s="341"/>
      <c r="BG70" s="341"/>
      <c r="BI70" s="343"/>
      <c r="BJ70" s="274"/>
    </row>
    <row r="71" spans="2:62" ht="15.75" thickBot="1" x14ac:dyDescent="0.3">
      <c r="B71" s="294" t="s">
        <v>1343</v>
      </c>
      <c r="C71" s="270" t="s">
        <v>758</v>
      </c>
      <c r="D71" s="293" t="s">
        <v>145</v>
      </c>
      <c r="E71" s="293" t="s">
        <v>862</v>
      </c>
      <c r="F71" s="440" t="s">
        <v>966</v>
      </c>
      <c r="G71" s="440" t="s">
        <v>966</v>
      </c>
      <c r="H71" s="293" t="s">
        <v>966</v>
      </c>
      <c r="I71" s="316" t="s">
        <v>966</v>
      </c>
      <c r="J71" s="316" t="s">
        <v>966</v>
      </c>
      <c r="K71" s="293" t="s">
        <v>966</v>
      </c>
      <c r="L71" s="316" t="s">
        <v>966</v>
      </c>
      <c r="M71" s="316" t="s">
        <v>966</v>
      </c>
      <c r="N71" s="426" t="s">
        <v>966</v>
      </c>
      <c r="O71" s="262"/>
      <c r="P71" s="286"/>
      <c r="Q71" s="287"/>
      <c r="R71" s="282"/>
      <c r="S71" s="289"/>
      <c r="T71" s="288"/>
      <c r="U71" s="3"/>
      <c r="V71" s="289"/>
      <c r="W71" s="289"/>
      <c r="X71" s="301"/>
      <c r="Z71" s="301"/>
      <c r="AA71" s="301"/>
      <c r="AB71" s="301"/>
      <c r="AC71" s="301"/>
      <c r="AD71" s="397"/>
      <c r="AE71" s="391"/>
      <c r="AF71" s="393"/>
      <c r="AG71" s="391"/>
      <c r="AH71" s="391"/>
      <c r="AL71" s="351">
        <v>69</v>
      </c>
      <c r="AM71" s="341"/>
      <c r="AN71" s="341"/>
      <c r="AO71" s="341"/>
      <c r="AP71" s="348"/>
      <c r="AQ71" s="348"/>
      <c r="AR71" s="348"/>
      <c r="AS71" s="348"/>
      <c r="AT71" s="348"/>
      <c r="AU71" s="349"/>
      <c r="AV71" s="348"/>
      <c r="AW71" s="343"/>
      <c r="AX71" s="352"/>
      <c r="AY71" s="352" t="s">
        <v>567</v>
      </c>
      <c r="AZ71" s="343"/>
      <c r="BA71" s="341"/>
      <c r="BB71" s="341"/>
      <c r="BC71" s="341"/>
      <c r="BD71" s="341"/>
      <c r="BE71" s="341"/>
      <c r="BF71" s="341"/>
      <c r="BG71" s="341"/>
      <c r="BI71" s="343"/>
      <c r="BJ71" s="274"/>
    </row>
    <row r="72" spans="2:62" ht="15.75" thickTop="1" x14ac:dyDescent="0.25">
      <c r="B72" s="294" t="s">
        <v>1339</v>
      </c>
      <c r="C72" s="270" t="s">
        <v>1340</v>
      </c>
      <c r="D72" s="293" t="s">
        <v>141</v>
      </c>
      <c r="E72" s="293" t="s">
        <v>862</v>
      </c>
      <c r="F72" s="440" t="s">
        <v>1572</v>
      </c>
      <c r="G72" s="514" t="s">
        <v>1573</v>
      </c>
      <c r="H72" s="293" t="s">
        <v>1574</v>
      </c>
      <c r="I72" s="316" t="s">
        <v>1077</v>
      </c>
      <c r="J72" s="316" t="s">
        <v>1078</v>
      </c>
      <c r="K72" s="293" t="s">
        <v>442</v>
      </c>
      <c r="L72" s="316">
        <v>46225</v>
      </c>
      <c r="M72" s="316" t="s">
        <v>966</v>
      </c>
      <c r="N72" s="426" t="s">
        <v>966</v>
      </c>
      <c r="O72" s="262"/>
      <c r="P72" s="3"/>
      <c r="Q72" s="3"/>
      <c r="R72" s="3"/>
      <c r="S72" s="3"/>
      <c r="T72" s="3"/>
      <c r="U72" s="3"/>
      <c r="V72" s="3"/>
      <c r="W72" s="3"/>
      <c r="X72" s="3"/>
      <c r="Z72" s="3"/>
      <c r="AA72" s="3"/>
      <c r="AB72" s="3"/>
      <c r="AC72" s="3"/>
      <c r="AD72" s="397"/>
      <c r="AE72" s="391"/>
      <c r="AF72" s="393"/>
      <c r="AG72" s="391"/>
      <c r="AH72" s="391"/>
      <c r="AL72" s="351">
        <v>70</v>
      </c>
      <c r="AM72" s="341"/>
      <c r="AN72" s="341"/>
      <c r="AO72" s="341"/>
      <c r="AP72" s="348"/>
      <c r="AQ72" s="348"/>
      <c r="AR72" s="348"/>
      <c r="AS72" s="348"/>
      <c r="AT72" s="348"/>
      <c r="AU72" s="349"/>
      <c r="AV72" s="348"/>
      <c r="AW72" s="343"/>
      <c r="AX72" s="352"/>
      <c r="AY72" s="352" t="s">
        <v>567</v>
      </c>
      <c r="AZ72" s="343"/>
      <c r="BA72" s="341"/>
      <c r="BB72" s="341"/>
      <c r="BC72" s="341"/>
      <c r="BD72" s="341"/>
      <c r="BE72" s="341"/>
      <c r="BF72" s="341"/>
      <c r="BG72" s="341"/>
      <c r="BI72" s="343"/>
      <c r="BJ72" s="274"/>
    </row>
    <row r="73" spans="2:62" x14ac:dyDescent="0.25">
      <c r="B73" s="294" t="s">
        <v>1341</v>
      </c>
      <c r="C73" s="270" t="s">
        <v>1342</v>
      </c>
      <c r="D73" s="293" t="s">
        <v>145</v>
      </c>
      <c r="E73" s="293" t="s">
        <v>862</v>
      </c>
      <c r="F73" s="440" t="s">
        <v>966</v>
      </c>
      <c r="G73" s="440" t="s">
        <v>966</v>
      </c>
      <c r="H73" s="293" t="s">
        <v>966</v>
      </c>
      <c r="I73" s="316" t="s">
        <v>966</v>
      </c>
      <c r="J73" s="316" t="s">
        <v>966</v>
      </c>
      <c r="K73" s="293" t="s">
        <v>966</v>
      </c>
      <c r="L73" s="316" t="s">
        <v>966</v>
      </c>
      <c r="M73" s="316" t="s">
        <v>966</v>
      </c>
      <c r="N73" s="426" t="s">
        <v>966</v>
      </c>
      <c r="O73" s="262"/>
      <c r="P73" s="3"/>
      <c r="Q73" s="3"/>
      <c r="R73" s="3"/>
      <c r="S73" s="3"/>
      <c r="T73" s="3"/>
      <c r="U73" s="3"/>
      <c r="V73" s="3"/>
      <c r="W73" s="3"/>
      <c r="X73" s="3"/>
      <c r="Z73" s="3"/>
      <c r="AA73" s="3"/>
      <c r="AB73" s="3"/>
      <c r="AC73" s="3"/>
      <c r="AD73" s="397"/>
      <c r="AE73" s="391"/>
      <c r="AF73" s="393"/>
      <c r="AG73" s="391"/>
      <c r="AH73" s="391"/>
      <c r="AL73" s="351">
        <v>71</v>
      </c>
      <c r="AM73" s="341"/>
      <c r="AN73" s="341"/>
      <c r="AO73" s="341"/>
      <c r="AP73" s="348"/>
      <c r="AQ73" s="348"/>
      <c r="AR73" s="348"/>
      <c r="AS73" s="348"/>
      <c r="AT73" s="348"/>
      <c r="AU73" s="349"/>
      <c r="AV73" s="348"/>
      <c r="AW73" s="343"/>
      <c r="AX73" s="352"/>
      <c r="AY73" s="352" t="s">
        <v>567</v>
      </c>
      <c r="AZ73" s="343"/>
      <c r="BA73" s="341"/>
      <c r="BB73" s="341"/>
      <c r="BC73" s="341"/>
      <c r="BD73" s="341"/>
      <c r="BE73" s="341"/>
      <c r="BF73" s="341"/>
      <c r="BG73" s="341"/>
      <c r="BI73" s="343"/>
      <c r="BJ73" s="274"/>
    </row>
    <row r="74" spans="2:62" x14ac:dyDescent="0.25">
      <c r="B74" s="294" t="s">
        <v>761</v>
      </c>
      <c r="C74" s="270" t="s">
        <v>760</v>
      </c>
      <c r="D74" s="293" t="s">
        <v>151</v>
      </c>
      <c r="E74" s="293" t="s">
        <v>862</v>
      </c>
      <c r="F74" s="440" t="s">
        <v>966</v>
      </c>
      <c r="G74" s="440" t="s">
        <v>966</v>
      </c>
      <c r="H74" s="293" t="s">
        <v>966</v>
      </c>
      <c r="I74" s="316" t="s">
        <v>966</v>
      </c>
      <c r="J74" s="316" t="s">
        <v>966</v>
      </c>
      <c r="K74" s="293" t="s">
        <v>966</v>
      </c>
      <c r="L74" s="316" t="s">
        <v>966</v>
      </c>
      <c r="M74" s="316" t="s">
        <v>966</v>
      </c>
      <c r="N74" s="426" t="s">
        <v>966</v>
      </c>
      <c r="O74" s="262"/>
      <c r="P74" s="3"/>
      <c r="Q74" s="3"/>
      <c r="R74" s="3"/>
      <c r="S74" s="3"/>
      <c r="T74" s="3"/>
      <c r="U74" s="3"/>
      <c r="V74" s="3"/>
      <c r="W74" s="3"/>
      <c r="X74" s="3"/>
      <c r="Z74" s="3"/>
      <c r="AA74" s="3"/>
      <c r="AB74" s="3"/>
      <c r="AC74" s="3"/>
      <c r="AD74" s="397"/>
      <c r="AE74" s="391"/>
      <c r="AF74" s="393"/>
      <c r="AG74" s="391"/>
      <c r="AH74" s="391"/>
      <c r="AL74" s="351">
        <v>72</v>
      </c>
      <c r="AM74" s="341"/>
      <c r="AN74" s="341"/>
      <c r="AO74" s="341"/>
      <c r="AP74" s="348"/>
      <c r="AQ74" s="348"/>
      <c r="AR74" s="348"/>
      <c r="AS74" s="348"/>
      <c r="AT74" s="348"/>
      <c r="AU74" s="349"/>
      <c r="AV74" s="348"/>
      <c r="AW74" s="343"/>
      <c r="AX74" s="352"/>
      <c r="AY74" s="352" t="s">
        <v>567</v>
      </c>
      <c r="AZ74" s="343"/>
      <c r="BA74" s="341"/>
      <c r="BB74" s="341"/>
      <c r="BC74" s="341"/>
      <c r="BD74" s="341"/>
      <c r="BE74" s="341"/>
      <c r="BF74" s="341"/>
      <c r="BG74" s="341"/>
      <c r="BI74" s="343"/>
      <c r="BJ74" s="274"/>
    </row>
    <row r="75" spans="2:62" x14ac:dyDescent="0.25">
      <c r="B75" s="294" t="s">
        <v>763</v>
      </c>
      <c r="C75" s="270" t="s">
        <v>762</v>
      </c>
      <c r="D75" s="293" t="s">
        <v>141</v>
      </c>
      <c r="E75" s="293" t="s">
        <v>862</v>
      </c>
      <c r="F75" s="440" t="s">
        <v>966</v>
      </c>
      <c r="G75" s="440" t="s">
        <v>966</v>
      </c>
      <c r="H75" s="293" t="s">
        <v>966</v>
      </c>
      <c r="I75" s="316" t="s">
        <v>966</v>
      </c>
      <c r="J75" s="316" t="s">
        <v>966</v>
      </c>
      <c r="K75" s="293" t="s">
        <v>966</v>
      </c>
      <c r="L75" s="316" t="s">
        <v>966</v>
      </c>
      <c r="M75" s="316" t="s">
        <v>966</v>
      </c>
      <c r="N75" s="426" t="s">
        <v>966</v>
      </c>
      <c r="O75" s="262"/>
      <c r="P75" s="3"/>
      <c r="Q75" s="3"/>
      <c r="R75" s="3"/>
      <c r="S75" s="3"/>
      <c r="T75" s="3"/>
      <c r="U75" s="3"/>
      <c r="V75" s="3"/>
      <c r="W75" s="3"/>
      <c r="X75" s="3"/>
      <c r="Z75" s="3"/>
      <c r="AA75" s="3"/>
      <c r="AB75" s="3"/>
      <c r="AC75" s="3"/>
      <c r="AD75" s="397"/>
      <c r="AE75" s="391"/>
      <c r="AF75" s="393"/>
      <c r="AG75" s="391"/>
      <c r="AH75" s="391"/>
      <c r="AL75" s="351">
        <v>73</v>
      </c>
      <c r="AM75" s="341"/>
      <c r="AN75" s="341"/>
      <c r="AO75" s="341"/>
      <c r="AP75" s="348"/>
      <c r="AQ75" s="348"/>
      <c r="AR75" s="348"/>
      <c r="AS75" s="348"/>
      <c r="AT75" s="348"/>
      <c r="AU75" s="349"/>
      <c r="AV75" s="348"/>
      <c r="AW75" s="343"/>
      <c r="AX75" s="352"/>
      <c r="AY75" s="352" t="s">
        <v>567</v>
      </c>
      <c r="AZ75" s="343"/>
      <c r="BA75" s="341"/>
      <c r="BB75" s="341"/>
      <c r="BC75" s="341"/>
      <c r="BD75" s="341"/>
      <c r="BE75" s="341"/>
      <c r="BF75" s="341"/>
      <c r="BG75" s="341"/>
      <c r="BI75" s="343"/>
      <c r="BJ75" s="274"/>
    </row>
    <row r="76" spans="2:62" x14ac:dyDescent="0.25">
      <c r="B76" s="452" t="s">
        <v>861</v>
      </c>
      <c r="C76" s="450" t="s">
        <v>479</v>
      </c>
      <c r="D76" s="293" t="s">
        <v>136</v>
      </c>
      <c r="E76" s="293" t="s">
        <v>862</v>
      </c>
      <c r="F76" s="440" t="s">
        <v>966</v>
      </c>
      <c r="G76" s="440" t="s">
        <v>966</v>
      </c>
      <c r="H76" s="293" t="s">
        <v>966</v>
      </c>
      <c r="I76" s="316" t="s">
        <v>966</v>
      </c>
      <c r="J76" s="316" t="s">
        <v>966</v>
      </c>
      <c r="K76" s="293" t="s">
        <v>966</v>
      </c>
      <c r="L76" s="316" t="s">
        <v>966</v>
      </c>
      <c r="M76" s="316" t="s">
        <v>966</v>
      </c>
      <c r="N76" s="426" t="s">
        <v>966</v>
      </c>
      <c r="O76" s="262"/>
      <c r="P76" s="3"/>
      <c r="Q76" s="3"/>
      <c r="R76" s="3"/>
      <c r="S76" s="3"/>
      <c r="T76" s="3"/>
      <c r="U76" s="3"/>
      <c r="V76" s="3"/>
      <c r="W76" s="3"/>
      <c r="X76" s="3"/>
      <c r="Z76" s="3"/>
      <c r="AA76" s="3"/>
      <c r="AB76" s="3"/>
      <c r="AC76" s="3"/>
      <c r="AD76" s="397"/>
      <c r="AE76" s="391"/>
      <c r="AF76" s="393"/>
      <c r="AG76" s="391"/>
      <c r="AH76" s="391"/>
      <c r="AJ76" s="3"/>
      <c r="AL76" s="351">
        <v>74</v>
      </c>
      <c r="AM76" s="341"/>
      <c r="AN76" s="341"/>
      <c r="AO76" s="341"/>
      <c r="AP76" s="348"/>
      <c r="AQ76" s="348"/>
      <c r="AR76" s="348"/>
      <c r="AS76" s="348"/>
      <c r="AT76" s="348"/>
      <c r="AU76" s="349"/>
      <c r="AV76" s="348"/>
      <c r="AW76" s="343"/>
      <c r="AX76" s="352"/>
      <c r="AY76" s="352" t="s">
        <v>567</v>
      </c>
      <c r="AZ76" s="343"/>
      <c r="BA76" s="341"/>
      <c r="BB76" s="341"/>
      <c r="BC76" s="341"/>
      <c r="BD76" s="341"/>
      <c r="BE76" s="341"/>
      <c r="BF76" s="341"/>
      <c r="BG76" s="341"/>
      <c r="BI76" s="343"/>
      <c r="BJ76" s="274"/>
    </row>
    <row r="77" spans="2:62" x14ac:dyDescent="0.25">
      <c r="B77" s="294" t="s">
        <v>1344</v>
      </c>
      <c r="C77" s="270" t="s">
        <v>782</v>
      </c>
      <c r="D77" s="293" t="s">
        <v>158</v>
      </c>
      <c r="E77" s="293" t="s">
        <v>862</v>
      </c>
      <c r="F77" s="440" t="s">
        <v>1475</v>
      </c>
      <c r="G77" s="440" t="s">
        <v>1476</v>
      </c>
      <c r="H77" s="293" t="s">
        <v>1477</v>
      </c>
      <c r="I77" s="316" t="s">
        <v>1478</v>
      </c>
      <c r="J77" s="316" t="s">
        <v>1143</v>
      </c>
      <c r="K77" s="293" t="s">
        <v>433</v>
      </c>
      <c r="L77" s="316">
        <v>94520</v>
      </c>
      <c r="M77" s="316" t="s">
        <v>966</v>
      </c>
      <c r="N77" s="426" t="s">
        <v>966</v>
      </c>
      <c r="O77" s="262"/>
      <c r="P77" s="3"/>
      <c r="Q77" s="3"/>
      <c r="R77" s="3"/>
      <c r="S77" s="3"/>
      <c r="T77" s="3"/>
      <c r="U77" s="3"/>
      <c r="V77" s="3"/>
      <c r="W77" s="3"/>
      <c r="X77" s="3"/>
      <c r="Z77" s="3"/>
      <c r="AA77" s="3"/>
      <c r="AB77" s="3"/>
      <c r="AC77" s="3"/>
      <c r="AD77" s="397"/>
      <c r="AE77" s="391"/>
      <c r="AF77" s="393"/>
      <c r="AG77" s="391"/>
      <c r="AH77" s="391"/>
      <c r="AJ77" s="3"/>
      <c r="AL77" s="351">
        <v>75</v>
      </c>
      <c r="AM77" s="341"/>
      <c r="AN77" s="341"/>
      <c r="AO77" s="341"/>
      <c r="AP77" s="348"/>
      <c r="AQ77" s="348"/>
      <c r="AR77" s="348"/>
      <c r="AS77" s="348"/>
      <c r="AT77" s="348"/>
      <c r="AU77" s="349"/>
      <c r="AV77" s="348"/>
      <c r="AW77" s="343"/>
      <c r="AX77" s="352"/>
      <c r="AY77" s="352" t="s">
        <v>567</v>
      </c>
      <c r="AZ77" s="343"/>
      <c r="BA77" s="341"/>
      <c r="BB77" s="341"/>
      <c r="BC77" s="341"/>
      <c r="BD77" s="341"/>
      <c r="BE77" s="341"/>
      <c r="BF77" s="341"/>
      <c r="BG77" s="341"/>
      <c r="BI77" s="343"/>
      <c r="BJ77" s="274"/>
    </row>
    <row r="78" spans="2:62" x14ac:dyDescent="0.25">
      <c r="B78" s="294" t="s">
        <v>765</v>
      </c>
      <c r="C78" s="270" t="s">
        <v>764</v>
      </c>
      <c r="D78" s="293" t="s">
        <v>151</v>
      </c>
      <c r="E78" s="293" t="s">
        <v>862</v>
      </c>
      <c r="F78" s="440" t="s">
        <v>966</v>
      </c>
      <c r="G78" s="440" t="s">
        <v>966</v>
      </c>
      <c r="H78" s="293" t="s">
        <v>966</v>
      </c>
      <c r="I78" s="316" t="s">
        <v>966</v>
      </c>
      <c r="J78" s="316" t="s">
        <v>966</v>
      </c>
      <c r="K78" s="293" t="s">
        <v>966</v>
      </c>
      <c r="L78" s="316" t="s">
        <v>966</v>
      </c>
      <c r="M78" s="316" t="s">
        <v>966</v>
      </c>
      <c r="N78" s="426" t="s">
        <v>966</v>
      </c>
      <c r="O78" s="262"/>
      <c r="P78" s="479" t="s">
        <v>1396</v>
      </c>
      <c r="Q78" s="3"/>
      <c r="R78" s="3"/>
      <c r="S78" s="3"/>
      <c r="T78" s="3"/>
      <c r="U78" s="3"/>
      <c r="V78" s="3"/>
      <c r="W78" s="3"/>
      <c r="X78" s="3"/>
      <c r="Z78" s="3"/>
      <c r="AA78" s="3"/>
      <c r="AB78" s="3"/>
      <c r="AC78" s="3"/>
      <c r="AD78" s="397"/>
      <c r="AE78" s="391"/>
      <c r="AF78" s="393"/>
      <c r="AG78" s="391"/>
      <c r="AH78" s="391"/>
      <c r="AJ78" s="3"/>
      <c r="AL78" s="351">
        <v>76</v>
      </c>
      <c r="AM78" s="341"/>
      <c r="AN78" s="341"/>
      <c r="AO78" s="341"/>
      <c r="AP78" s="348"/>
      <c r="AQ78" s="348"/>
      <c r="AR78" s="348"/>
      <c r="AS78" s="348"/>
      <c r="AT78" s="348"/>
      <c r="AU78" s="349"/>
      <c r="AV78" s="348"/>
      <c r="AW78" s="343"/>
      <c r="AX78" s="352"/>
      <c r="AY78" s="352" t="s">
        <v>567</v>
      </c>
      <c r="AZ78" s="343"/>
      <c r="BA78" s="341"/>
      <c r="BB78" s="341"/>
      <c r="BC78" s="341"/>
      <c r="BD78" s="341"/>
      <c r="BE78" s="341"/>
      <c r="BF78" s="341"/>
      <c r="BG78" s="341"/>
      <c r="BI78" s="343"/>
      <c r="BJ78" s="274"/>
    </row>
    <row r="79" spans="2:62" x14ac:dyDescent="0.25">
      <c r="B79" s="294" t="s">
        <v>736</v>
      </c>
      <c r="C79" s="270" t="s">
        <v>735</v>
      </c>
      <c r="D79" s="293" t="s">
        <v>136</v>
      </c>
      <c r="E79" s="293" t="s">
        <v>863</v>
      </c>
      <c r="F79" s="440" t="s">
        <v>966</v>
      </c>
      <c r="G79" s="440" t="s">
        <v>966</v>
      </c>
      <c r="H79" s="293" t="s">
        <v>966</v>
      </c>
      <c r="I79" s="316" t="s">
        <v>966</v>
      </c>
      <c r="J79" s="316" t="s">
        <v>966</v>
      </c>
      <c r="K79" s="293" t="s">
        <v>966</v>
      </c>
      <c r="L79" s="316" t="s">
        <v>966</v>
      </c>
      <c r="M79" s="316" t="s">
        <v>966</v>
      </c>
      <c r="N79" s="426" t="s">
        <v>966</v>
      </c>
      <c r="O79" s="262"/>
      <c r="P79" s="3" t="s">
        <v>1397</v>
      </c>
      <c r="Q79" s="3"/>
      <c r="R79" s="3"/>
      <c r="S79" s="3"/>
      <c r="T79" s="3"/>
      <c r="U79" s="3"/>
      <c r="V79" s="3"/>
      <c r="W79" s="3"/>
      <c r="X79" s="3"/>
      <c r="Z79" s="3"/>
      <c r="AA79" s="3"/>
      <c r="AB79" s="3"/>
      <c r="AC79" s="3"/>
      <c r="AD79" s="397"/>
      <c r="AE79" s="391"/>
      <c r="AF79" s="393"/>
      <c r="AG79" s="391"/>
      <c r="AH79" s="391"/>
      <c r="AJ79" s="3"/>
      <c r="AL79" s="351">
        <v>77</v>
      </c>
      <c r="AM79" s="341"/>
      <c r="AN79" s="341"/>
      <c r="AO79" s="341"/>
      <c r="AP79" s="348"/>
      <c r="AQ79" s="348"/>
      <c r="AR79" s="348"/>
      <c r="AS79" s="348"/>
      <c r="AT79" s="348"/>
      <c r="AU79" s="349"/>
      <c r="AV79" s="348"/>
      <c r="AW79" s="343"/>
      <c r="AX79" s="352"/>
      <c r="AY79" s="352" t="s">
        <v>567</v>
      </c>
      <c r="AZ79" s="343"/>
      <c r="BA79" s="341"/>
      <c r="BB79" s="341"/>
      <c r="BC79" s="341"/>
      <c r="BD79" s="341"/>
      <c r="BE79" s="341"/>
      <c r="BF79" s="341"/>
      <c r="BG79" s="341"/>
      <c r="BI79" s="343"/>
      <c r="BJ79" s="274"/>
    </row>
    <row r="80" spans="2:62" x14ac:dyDescent="0.25">
      <c r="B80" s="294" t="s">
        <v>1345</v>
      </c>
      <c r="C80" s="270" t="s">
        <v>1346</v>
      </c>
      <c r="D80" s="293" t="s">
        <v>151</v>
      </c>
      <c r="E80" s="293" t="s">
        <v>862</v>
      </c>
      <c r="F80" s="440" t="s">
        <v>966</v>
      </c>
      <c r="G80" s="440" t="s">
        <v>966</v>
      </c>
      <c r="H80" s="293" t="s">
        <v>966</v>
      </c>
      <c r="I80" s="316" t="s">
        <v>966</v>
      </c>
      <c r="J80" s="316" t="s">
        <v>966</v>
      </c>
      <c r="K80" s="293" t="s">
        <v>966</v>
      </c>
      <c r="L80" s="316" t="s">
        <v>966</v>
      </c>
      <c r="M80" s="316" t="s">
        <v>966</v>
      </c>
      <c r="N80" s="426" t="s">
        <v>966</v>
      </c>
      <c r="O80" s="262"/>
      <c r="P80" s="3" t="s">
        <v>1398</v>
      </c>
      <c r="Q80" s="3"/>
      <c r="R80" s="3"/>
      <c r="S80" s="3"/>
      <c r="T80" s="3"/>
      <c r="U80" s="3"/>
      <c r="V80" s="3"/>
      <c r="W80" s="3"/>
      <c r="X80" s="3"/>
      <c r="Z80" s="3"/>
      <c r="AA80" s="3"/>
      <c r="AB80" s="3"/>
      <c r="AC80" s="3"/>
      <c r="AD80" s="397"/>
      <c r="AE80" s="391"/>
      <c r="AF80" s="393"/>
      <c r="AG80" s="391"/>
      <c r="AH80" s="391"/>
      <c r="AJ80" s="3"/>
      <c r="AL80" s="351">
        <v>78</v>
      </c>
      <c r="AM80" s="341"/>
      <c r="AN80" s="341"/>
      <c r="AO80" s="341"/>
      <c r="AP80" s="348"/>
      <c r="AQ80" s="348"/>
      <c r="AR80" s="348"/>
      <c r="AS80" s="348"/>
      <c r="AT80" s="348"/>
      <c r="AU80" s="349"/>
      <c r="AV80" s="348"/>
      <c r="AW80" s="343"/>
      <c r="AX80" s="352"/>
      <c r="AY80" s="352" t="s">
        <v>567</v>
      </c>
      <c r="AZ80" s="343"/>
      <c r="BA80" s="341"/>
      <c r="BB80" s="341"/>
      <c r="BC80" s="341"/>
      <c r="BD80" s="341"/>
      <c r="BE80" s="341"/>
      <c r="BF80" s="341"/>
      <c r="BG80" s="341"/>
      <c r="BI80" s="343"/>
      <c r="BJ80" s="274"/>
    </row>
    <row r="81" spans="2:62" x14ac:dyDescent="0.25">
      <c r="B81" s="294" t="s">
        <v>769</v>
      </c>
      <c r="C81" s="270" t="s">
        <v>768</v>
      </c>
      <c r="D81" s="293" t="s">
        <v>154</v>
      </c>
      <c r="E81" s="293" t="s">
        <v>1048</v>
      </c>
      <c r="F81" s="512" t="s">
        <v>1529</v>
      </c>
      <c r="G81" s="517" t="s">
        <v>1530</v>
      </c>
      <c r="H81" s="513" t="s">
        <v>966</v>
      </c>
      <c r="I81" s="515" t="s">
        <v>1531</v>
      </c>
      <c r="J81" s="515" t="s">
        <v>1532</v>
      </c>
      <c r="K81" s="513" t="s">
        <v>459</v>
      </c>
      <c r="L81" s="515">
        <v>87545</v>
      </c>
      <c r="M81" s="316" t="s">
        <v>966</v>
      </c>
      <c r="N81" s="426" t="s">
        <v>966</v>
      </c>
      <c r="O81" s="262"/>
      <c r="P81" s="3" t="s">
        <v>1399</v>
      </c>
      <c r="Q81" s="3"/>
      <c r="R81" s="3"/>
      <c r="S81" s="3"/>
      <c r="T81" s="3"/>
      <c r="U81" s="3"/>
      <c r="V81" s="3"/>
      <c r="W81" s="3"/>
      <c r="X81" s="3"/>
      <c r="Z81" s="3"/>
      <c r="AA81" s="3"/>
      <c r="AB81" s="3"/>
      <c r="AC81" s="3"/>
      <c r="AD81" s="397"/>
      <c r="AE81" s="391"/>
      <c r="AF81" s="393"/>
      <c r="AG81" s="391"/>
      <c r="AH81" s="391"/>
      <c r="AJ81" s="3"/>
      <c r="AL81" s="351">
        <v>79</v>
      </c>
      <c r="AM81" s="341"/>
      <c r="AN81" s="341"/>
      <c r="AO81" s="341"/>
      <c r="AP81" s="348"/>
      <c r="AQ81" s="348"/>
      <c r="AR81" s="348"/>
      <c r="AS81" s="348"/>
      <c r="AT81" s="348"/>
      <c r="AU81" s="349"/>
      <c r="AV81" s="348"/>
      <c r="AW81" s="343"/>
      <c r="AX81" s="352"/>
      <c r="AY81" s="352" t="s">
        <v>567</v>
      </c>
      <c r="AZ81" s="343"/>
      <c r="BA81" s="341"/>
      <c r="BB81" s="341"/>
      <c r="BC81" s="341"/>
      <c r="BD81" s="341"/>
      <c r="BE81" s="341"/>
      <c r="BF81" s="341"/>
      <c r="BG81" s="341"/>
      <c r="BI81" s="343"/>
      <c r="BJ81" s="274"/>
    </row>
    <row r="82" spans="2:62" x14ac:dyDescent="0.25">
      <c r="B82" s="294" t="s">
        <v>734</v>
      </c>
      <c r="C82" s="270" t="s">
        <v>1348</v>
      </c>
      <c r="D82" s="293" t="s">
        <v>145</v>
      </c>
      <c r="E82" s="293" t="s">
        <v>863</v>
      </c>
      <c r="F82" s="440" t="s">
        <v>966</v>
      </c>
      <c r="G82" s="440" t="s">
        <v>966</v>
      </c>
      <c r="H82" s="293" t="s">
        <v>966</v>
      </c>
      <c r="I82" s="316" t="s">
        <v>966</v>
      </c>
      <c r="J82" s="316" t="s">
        <v>966</v>
      </c>
      <c r="K82" s="293" t="s">
        <v>966</v>
      </c>
      <c r="L82" s="316" t="s">
        <v>966</v>
      </c>
      <c r="M82" s="316" t="s">
        <v>966</v>
      </c>
      <c r="N82" s="426" t="s">
        <v>966</v>
      </c>
      <c r="O82" s="262"/>
      <c r="P82" s="3" t="s">
        <v>1400</v>
      </c>
      <c r="Q82" s="3"/>
      <c r="R82" s="3"/>
      <c r="S82" s="3"/>
      <c r="T82" s="3"/>
      <c r="U82" s="3"/>
      <c r="V82" s="3"/>
      <c r="W82" s="3"/>
      <c r="X82" s="3"/>
      <c r="Z82" s="3"/>
      <c r="AA82" s="3"/>
      <c r="AB82" s="3"/>
      <c r="AC82" s="3"/>
      <c r="AD82" s="397"/>
      <c r="AE82" s="391"/>
      <c r="AF82" s="393"/>
      <c r="AG82" s="391"/>
      <c r="AH82" s="391"/>
      <c r="AJ82" s="3"/>
      <c r="AL82" s="351">
        <v>80</v>
      </c>
      <c r="AM82" s="341"/>
      <c r="AN82" s="341"/>
      <c r="AO82" s="341"/>
      <c r="AP82" s="348"/>
      <c r="AQ82" s="348"/>
      <c r="AR82" s="348"/>
      <c r="AS82" s="348"/>
      <c r="AT82" s="348"/>
      <c r="AU82" s="349"/>
      <c r="AV82" s="348"/>
      <c r="AW82" s="343"/>
      <c r="AX82" s="352"/>
      <c r="AY82" s="352" t="s">
        <v>567</v>
      </c>
      <c r="AZ82" s="343"/>
      <c r="BA82" s="341"/>
      <c r="BB82" s="341"/>
      <c r="BC82" s="341"/>
      <c r="BD82" s="341"/>
      <c r="BE82" s="341"/>
      <c r="BF82" s="341"/>
      <c r="BG82" s="341"/>
      <c r="BI82" s="343"/>
      <c r="BJ82" s="274"/>
    </row>
    <row r="83" spans="2:62" x14ac:dyDescent="0.25">
      <c r="B83" s="294" t="s">
        <v>770</v>
      </c>
      <c r="C83" s="270" t="s">
        <v>1347</v>
      </c>
      <c r="D83" s="293" t="s">
        <v>145</v>
      </c>
      <c r="E83" s="293" t="s">
        <v>862</v>
      </c>
      <c r="F83" s="440" t="s">
        <v>966</v>
      </c>
      <c r="G83" s="440" t="s">
        <v>966</v>
      </c>
      <c r="H83" s="293" t="s">
        <v>966</v>
      </c>
      <c r="I83" s="316" t="s">
        <v>966</v>
      </c>
      <c r="J83" s="316" t="s">
        <v>966</v>
      </c>
      <c r="K83" s="293" t="s">
        <v>966</v>
      </c>
      <c r="L83" s="316" t="s">
        <v>966</v>
      </c>
      <c r="M83" s="316" t="s">
        <v>966</v>
      </c>
      <c r="N83" s="426" t="s">
        <v>966</v>
      </c>
      <c r="O83" s="262"/>
      <c r="P83" s="3" t="s">
        <v>1401</v>
      </c>
      <c r="Q83" s="3"/>
      <c r="R83" s="3"/>
      <c r="S83" s="3"/>
      <c r="T83" s="3"/>
      <c r="U83" s="3"/>
      <c r="V83" s="3"/>
      <c r="W83" s="3"/>
      <c r="X83" s="3"/>
      <c r="Z83" s="3"/>
      <c r="AA83" s="3"/>
      <c r="AB83" s="3"/>
      <c r="AC83" s="3"/>
      <c r="AD83" s="397"/>
      <c r="AE83" s="391"/>
      <c r="AF83" s="393"/>
      <c r="AG83" s="391"/>
      <c r="AH83" s="391"/>
      <c r="AJ83" s="3"/>
      <c r="AL83" s="351">
        <v>81</v>
      </c>
      <c r="AM83" s="341"/>
      <c r="AN83" s="341"/>
      <c r="AO83" s="341"/>
      <c r="AP83" s="348"/>
      <c r="AQ83" s="348"/>
      <c r="AR83" s="348"/>
      <c r="AS83" s="348"/>
      <c r="AT83" s="348"/>
      <c r="AU83" s="349"/>
      <c r="AV83" s="348"/>
      <c r="AW83" s="343"/>
      <c r="AX83" s="352"/>
      <c r="AY83" s="352" t="s">
        <v>567</v>
      </c>
      <c r="AZ83" s="343"/>
      <c r="BA83" s="341"/>
      <c r="BB83" s="341"/>
      <c r="BC83" s="341"/>
      <c r="BD83" s="341"/>
      <c r="BE83" s="341"/>
      <c r="BF83" s="341"/>
      <c r="BG83" s="341"/>
      <c r="BI83" s="343"/>
      <c r="BJ83" s="274"/>
    </row>
    <row r="84" spans="2:62" x14ac:dyDescent="0.25">
      <c r="B84" s="294" t="s">
        <v>744</v>
      </c>
      <c r="C84" s="270" t="s">
        <v>743</v>
      </c>
      <c r="D84" s="293" t="s">
        <v>141</v>
      </c>
      <c r="E84" s="293" t="s">
        <v>862</v>
      </c>
      <c r="F84" s="440" t="s">
        <v>966</v>
      </c>
      <c r="G84" s="440" t="s">
        <v>966</v>
      </c>
      <c r="H84" s="293" t="s">
        <v>966</v>
      </c>
      <c r="I84" s="316" t="s">
        <v>966</v>
      </c>
      <c r="J84" s="316" t="s">
        <v>966</v>
      </c>
      <c r="K84" s="293" t="s">
        <v>966</v>
      </c>
      <c r="L84" s="316" t="s">
        <v>966</v>
      </c>
      <c r="M84" s="316" t="s">
        <v>966</v>
      </c>
      <c r="N84" s="426" t="s">
        <v>966</v>
      </c>
      <c r="O84" s="262"/>
      <c r="P84" s="3" t="s">
        <v>1402</v>
      </c>
      <c r="Q84" s="3"/>
      <c r="R84" s="3"/>
      <c r="S84" s="3"/>
      <c r="T84" s="3"/>
      <c r="U84" s="3"/>
      <c r="V84" s="3"/>
      <c r="W84" s="3"/>
      <c r="X84" s="3"/>
      <c r="Z84" s="3"/>
      <c r="AA84" s="3"/>
      <c r="AB84" s="3"/>
      <c r="AC84" s="3"/>
      <c r="AD84" s="397"/>
      <c r="AE84" s="391"/>
      <c r="AF84" s="393"/>
      <c r="AG84" s="391"/>
      <c r="AH84" s="391"/>
      <c r="AJ84" s="3"/>
      <c r="AL84" s="351">
        <v>82</v>
      </c>
      <c r="AM84" s="341"/>
      <c r="AN84" s="341"/>
      <c r="AO84" s="341"/>
      <c r="AP84" s="348"/>
      <c r="AQ84" s="348"/>
      <c r="AR84" s="348"/>
      <c r="AS84" s="348"/>
      <c r="AT84" s="348"/>
      <c r="AU84" s="349"/>
      <c r="AV84" s="348"/>
      <c r="AW84" s="343"/>
      <c r="AX84" s="352"/>
      <c r="AY84" s="352" t="s">
        <v>567</v>
      </c>
      <c r="AZ84" s="343"/>
      <c r="BA84" s="341"/>
      <c r="BB84" s="341"/>
      <c r="BC84" s="341"/>
      <c r="BD84" s="341"/>
      <c r="BE84" s="341"/>
      <c r="BF84" s="341"/>
      <c r="BG84" s="341"/>
      <c r="BI84" s="343"/>
      <c r="BJ84" s="274"/>
    </row>
    <row r="85" spans="2:62" x14ac:dyDescent="0.25">
      <c r="B85" s="294" t="s">
        <v>738</v>
      </c>
      <c r="C85" s="270" t="s">
        <v>737</v>
      </c>
      <c r="D85" s="293" t="s">
        <v>136</v>
      </c>
      <c r="E85" s="293" t="s">
        <v>862</v>
      </c>
      <c r="F85" s="440" t="s">
        <v>966</v>
      </c>
      <c r="G85" s="440" t="s">
        <v>966</v>
      </c>
      <c r="H85" s="293" t="s">
        <v>966</v>
      </c>
      <c r="I85" s="316" t="s">
        <v>966</v>
      </c>
      <c r="J85" s="316" t="s">
        <v>966</v>
      </c>
      <c r="K85" s="293" t="s">
        <v>966</v>
      </c>
      <c r="L85" s="316" t="s">
        <v>966</v>
      </c>
      <c r="M85" s="316" t="s">
        <v>966</v>
      </c>
      <c r="N85" s="426" t="s">
        <v>966</v>
      </c>
      <c r="O85" s="262"/>
      <c r="P85" s="3" t="s">
        <v>1393</v>
      </c>
      <c r="Q85" s="3"/>
      <c r="R85" s="3"/>
      <c r="S85" s="3"/>
      <c r="T85" s="3"/>
      <c r="U85" s="3"/>
      <c r="V85" s="3"/>
      <c r="W85" s="3"/>
      <c r="X85" s="3"/>
      <c r="Z85" s="3"/>
      <c r="AA85" s="3"/>
      <c r="AB85" s="3"/>
      <c r="AC85" s="3"/>
      <c r="AD85" s="397"/>
      <c r="AE85" s="391"/>
      <c r="AF85" s="393"/>
      <c r="AG85" s="391"/>
      <c r="AH85" s="391"/>
      <c r="AJ85" s="3"/>
      <c r="AL85" s="351">
        <v>83</v>
      </c>
      <c r="AM85" s="341"/>
      <c r="AN85" s="341"/>
      <c r="AO85" s="341"/>
      <c r="AP85" s="348"/>
      <c r="AQ85" s="348"/>
      <c r="AR85" s="348"/>
      <c r="AS85" s="348"/>
      <c r="AT85" s="348"/>
      <c r="AU85" s="349"/>
      <c r="AV85" s="348"/>
      <c r="AW85" s="343"/>
      <c r="AX85" s="352"/>
      <c r="AY85" s="352" t="s">
        <v>567</v>
      </c>
      <c r="AZ85" s="343"/>
      <c r="BA85" s="341"/>
      <c r="BB85" s="341"/>
      <c r="BC85" s="341"/>
      <c r="BD85" s="341"/>
      <c r="BE85" s="341"/>
      <c r="BF85" s="341"/>
      <c r="BG85" s="341"/>
      <c r="BI85" s="343"/>
      <c r="BJ85" s="274"/>
    </row>
    <row r="86" spans="2:62" x14ac:dyDescent="0.25">
      <c r="B86" s="294" t="s">
        <v>772</v>
      </c>
      <c r="C86" s="270" t="s">
        <v>771</v>
      </c>
      <c r="D86" s="293" t="s">
        <v>158</v>
      </c>
      <c r="E86" s="293" t="s">
        <v>862</v>
      </c>
      <c r="F86" s="440" t="s">
        <v>966</v>
      </c>
      <c r="G86" s="440" t="s">
        <v>966</v>
      </c>
      <c r="H86" s="293" t="s">
        <v>966</v>
      </c>
      <c r="I86" s="316" t="s">
        <v>966</v>
      </c>
      <c r="J86" s="316" t="s">
        <v>966</v>
      </c>
      <c r="K86" s="293" t="s">
        <v>966</v>
      </c>
      <c r="L86" s="316" t="s">
        <v>966</v>
      </c>
      <c r="M86" s="316" t="s">
        <v>966</v>
      </c>
      <c r="N86" s="426" t="s">
        <v>966</v>
      </c>
      <c r="O86" s="262"/>
      <c r="P86" s="3" t="s">
        <v>1394</v>
      </c>
      <c r="Q86" s="3"/>
      <c r="R86" s="3"/>
      <c r="S86" s="3"/>
      <c r="T86" s="3"/>
      <c r="U86" s="3"/>
      <c r="V86" s="3"/>
      <c r="W86" s="3"/>
      <c r="X86" s="3"/>
      <c r="Z86" s="3"/>
      <c r="AA86" s="3"/>
      <c r="AB86" s="3"/>
      <c r="AC86" s="3"/>
      <c r="AD86" s="397"/>
      <c r="AE86" s="391"/>
      <c r="AF86" s="393"/>
      <c r="AG86" s="391"/>
      <c r="AH86" s="391"/>
      <c r="AJ86" s="3"/>
      <c r="AL86" s="351">
        <v>84</v>
      </c>
      <c r="AM86" s="341"/>
      <c r="AN86" s="341"/>
      <c r="AO86" s="341"/>
      <c r="AP86" s="348"/>
      <c r="AQ86" s="348"/>
      <c r="AR86" s="348"/>
      <c r="AS86" s="348"/>
      <c r="AT86" s="348"/>
      <c r="AU86" s="349"/>
      <c r="AV86" s="348"/>
      <c r="AW86" s="343"/>
      <c r="AX86" s="352"/>
      <c r="AY86" s="352" t="s">
        <v>567</v>
      </c>
      <c r="AZ86" s="343"/>
      <c r="BA86" s="341"/>
      <c r="BB86" s="341"/>
      <c r="BC86" s="341"/>
      <c r="BD86" s="341"/>
      <c r="BE86" s="341"/>
      <c r="BF86" s="341"/>
      <c r="BG86" s="341"/>
      <c r="BI86" s="343"/>
      <c r="BJ86" s="274"/>
    </row>
    <row r="87" spans="2:62" x14ac:dyDescent="0.25">
      <c r="B87" s="294" t="s">
        <v>1524</v>
      </c>
      <c r="C87" s="270" t="s">
        <v>1132</v>
      </c>
      <c r="D87" s="293" t="s">
        <v>141</v>
      </c>
      <c r="E87" s="293" t="s">
        <v>862</v>
      </c>
      <c r="F87" s="440" t="s">
        <v>1133</v>
      </c>
      <c r="G87" s="440" t="s">
        <v>1134</v>
      </c>
      <c r="H87" s="293" t="s">
        <v>1135</v>
      </c>
      <c r="I87" s="316" t="s">
        <v>1136</v>
      </c>
      <c r="J87" s="316" t="s">
        <v>1137</v>
      </c>
      <c r="K87" s="293" t="s">
        <v>451</v>
      </c>
      <c r="L87" s="316">
        <v>55449</v>
      </c>
      <c r="M87" s="316" t="s">
        <v>966</v>
      </c>
      <c r="N87" s="426" t="s">
        <v>966</v>
      </c>
      <c r="O87" s="262"/>
      <c r="P87" s="3" t="s">
        <v>1395</v>
      </c>
      <c r="Q87" s="3"/>
      <c r="R87" s="3"/>
      <c r="S87" s="3"/>
      <c r="T87" s="3"/>
      <c r="U87" s="3"/>
      <c r="V87" s="3"/>
      <c r="W87" s="3"/>
      <c r="X87" s="3"/>
      <c r="Z87" s="3"/>
      <c r="AA87" s="3"/>
      <c r="AB87" s="3"/>
      <c r="AC87" s="3"/>
      <c r="AD87" s="397"/>
      <c r="AE87" s="391"/>
      <c r="AF87" s="393"/>
      <c r="AG87" s="391"/>
      <c r="AH87" s="391"/>
      <c r="AJ87" s="3"/>
      <c r="AL87" s="344"/>
      <c r="AN87" s="204"/>
      <c r="AZ87" s="204"/>
      <c r="BI87" s="204"/>
      <c r="BJ87" s="274"/>
    </row>
    <row r="88" spans="2:62" x14ac:dyDescent="0.25">
      <c r="B88" s="294" t="s">
        <v>1510</v>
      </c>
      <c r="C88" s="270" t="s">
        <v>773</v>
      </c>
      <c r="D88" s="293" t="s">
        <v>151</v>
      </c>
      <c r="E88" s="293" t="s">
        <v>1048</v>
      </c>
      <c r="F88" s="512" t="s">
        <v>1512</v>
      </c>
      <c r="G88" s="514" t="s">
        <v>1563</v>
      </c>
      <c r="H88" s="513" t="s">
        <v>1513</v>
      </c>
      <c r="I88" s="515" t="s">
        <v>1216</v>
      </c>
      <c r="J88" s="515" t="s">
        <v>1151</v>
      </c>
      <c r="K88" s="513" t="s">
        <v>470</v>
      </c>
      <c r="L88" s="515">
        <v>37830</v>
      </c>
      <c r="M88" s="316" t="s">
        <v>966</v>
      </c>
      <c r="N88" s="426" t="s">
        <v>966</v>
      </c>
      <c r="O88" s="262"/>
      <c r="P88" s="3"/>
      <c r="Q88" s="3"/>
      <c r="R88" s="3"/>
      <c r="S88" s="3"/>
      <c r="T88" s="3"/>
      <c r="U88" s="3"/>
      <c r="V88" s="3"/>
      <c r="W88" s="3"/>
      <c r="X88" s="3"/>
      <c r="Z88" s="3"/>
      <c r="AA88" s="3"/>
      <c r="AB88" s="3"/>
      <c r="AC88" s="3"/>
      <c r="AD88" s="397"/>
      <c r="AE88" s="391"/>
      <c r="AF88" s="393"/>
      <c r="AG88" s="391"/>
      <c r="AH88" s="391"/>
      <c r="AJ88" s="3"/>
      <c r="AL88" s="344"/>
      <c r="AN88" s="204"/>
      <c r="AZ88" s="204"/>
      <c r="BI88" s="204"/>
      <c r="BJ88" s="274"/>
    </row>
    <row r="89" spans="2:62" x14ac:dyDescent="0.25">
      <c r="B89" s="294" t="s">
        <v>1511</v>
      </c>
      <c r="C89" s="270" t="s">
        <v>774</v>
      </c>
      <c r="D89" s="293" t="s">
        <v>151</v>
      </c>
      <c r="E89" s="293" t="s">
        <v>1048</v>
      </c>
      <c r="F89" s="512" t="s">
        <v>1214</v>
      </c>
      <c r="G89" s="514" t="s">
        <v>1509</v>
      </c>
      <c r="H89" s="513" t="s">
        <v>1215</v>
      </c>
      <c r="I89" s="515" t="s">
        <v>1514</v>
      </c>
      <c r="J89" s="515" t="s">
        <v>1151</v>
      </c>
      <c r="K89" s="513" t="s">
        <v>470</v>
      </c>
      <c r="L89" s="515">
        <v>37830</v>
      </c>
      <c r="M89" s="316" t="s">
        <v>966</v>
      </c>
      <c r="N89" s="426" t="s">
        <v>966</v>
      </c>
      <c r="O89" s="3"/>
      <c r="P89" s="3"/>
      <c r="Q89" s="3"/>
      <c r="R89" s="3"/>
      <c r="S89" s="3"/>
      <c r="U89" s="3"/>
      <c r="V89" s="3"/>
      <c r="AD89" s="397"/>
      <c r="AE89" s="391"/>
      <c r="AF89" s="393"/>
      <c r="AG89" s="391"/>
      <c r="AH89" s="391"/>
      <c r="AJ89" s="3"/>
      <c r="AL89" s="344"/>
      <c r="AN89" s="204"/>
      <c r="AZ89" s="204"/>
      <c r="BI89" s="204"/>
      <c r="BJ89" s="274"/>
    </row>
    <row r="90" spans="2:62" x14ac:dyDescent="0.25">
      <c r="B90" s="294" t="s">
        <v>731</v>
      </c>
      <c r="C90" s="270" t="s">
        <v>730</v>
      </c>
      <c r="D90" s="293" t="s">
        <v>145</v>
      </c>
      <c r="E90" s="293" t="s">
        <v>862</v>
      </c>
      <c r="F90" s="440" t="s">
        <v>966</v>
      </c>
      <c r="G90" s="440" t="s">
        <v>966</v>
      </c>
      <c r="H90" s="293" t="s">
        <v>966</v>
      </c>
      <c r="I90" s="316" t="s">
        <v>966</v>
      </c>
      <c r="J90" s="316" t="s">
        <v>966</v>
      </c>
      <c r="K90" s="293" t="s">
        <v>966</v>
      </c>
      <c r="L90" s="316" t="s">
        <v>966</v>
      </c>
      <c r="M90" s="316" t="s">
        <v>966</v>
      </c>
      <c r="N90" s="426" t="s">
        <v>966</v>
      </c>
      <c r="O90" s="3"/>
      <c r="P90" s="3"/>
      <c r="Q90" s="3"/>
      <c r="R90" s="3"/>
      <c r="S90" s="3"/>
      <c r="U90" s="3"/>
      <c r="V90" s="3"/>
      <c r="AD90" s="397"/>
      <c r="AE90" s="391"/>
      <c r="AF90" s="393"/>
      <c r="AG90" s="391"/>
      <c r="AH90" s="391"/>
      <c r="AJ90" s="3"/>
      <c r="AL90" s="344"/>
      <c r="AN90" s="204"/>
      <c r="AZ90" s="204"/>
      <c r="BI90" s="204"/>
      <c r="BJ90" s="274"/>
    </row>
    <row r="91" spans="2:62" x14ac:dyDescent="0.25">
      <c r="B91" s="294" t="s">
        <v>776</v>
      </c>
      <c r="C91" s="270" t="s">
        <v>775</v>
      </c>
      <c r="D91" s="293" t="s">
        <v>151</v>
      </c>
      <c r="E91" s="293" t="s">
        <v>862</v>
      </c>
      <c r="F91" s="440" t="s">
        <v>966</v>
      </c>
      <c r="G91" s="440" t="s">
        <v>966</v>
      </c>
      <c r="H91" s="293" t="s">
        <v>966</v>
      </c>
      <c r="I91" s="316" t="s">
        <v>966</v>
      </c>
      <c r="J91" s="316" t="s">
        <v>966</v>
      </c>
      <c r="K91" s="293" t="s">
        <v>966</v>
      </c>
      <c r="L91" s="316" t="s">
        <v>966</v>
      </c>
      <c r="M91" s="316" t="s">
        <v>966</v>
      </c>
      <c r="N91" s="426" t="s">
        <v>966</v>
      </c>
      <c r="O91" s="3"/>
      <c r="P91" s="3"/>
      <c r="Q91" s="3"/>
      <c r="R91" s="3"/>
      <c r="S91" s="3"/>
      <c r="U91" s="3"/>
      <c r="V91" s="3"/>
      <c r="AD91" s="406"/>
      <c r="AE91" s="380"/>
      <c r="AF91" s="376"/>
      <c r="AG91" s="380"/>
      <c r="AH91" s="380"/>
      <c r="AJ91" s="3"/>
      <c r="AL91" s="344"/>
      <c r="AN91" s="204"/>
      <c r="AZ91" s="204"/>
      <c r="BI91" s="204"/>
      <c r="BJ91" s="274"/>
    </row>
    <row r="92" spans="2:62" x14ac:dyDescent="0.25">
      <c r="B92" s="294" t="s">
        <v>777</v>
      </c>
      <c r="C92" s="270" t="s">
        <v>1349</v>
      </c>
      <c r="D92" s="293" t="s">
        <v>141</v>
      </c>
      <c r="E92" s="293" t="s">
        <v>862</v>
      </c>
      <c r="F92" s="440" t="s">
        <v>1501</v>
      </c>
      <c r="G92" s="440" t="s">
        <v>1502</v>
      </c>
      <c r="H92" s="293" t="s">
        <v>1503</v>
      </c>
      <c r="I92" s="316" t="s">
        <v>1504</v>
      </c>
      <c r="J92" s="316" t="s">
        <v>1505</v>
      </c>
      <c r="K92" s="293" t="s">
        <v>442</v>
      </c>
      <c r="L92" s="515">
        <v>47712</v>
      </c>
      <c r="M92" s="316" t="s">
        <v>966</v>
      </c>
      <c r="N92" s="426" t="s">
        <v>966</v>
      </c>
      <c r="O92" s="3"/>
      <c r="P92" s="3"/>
      <c r="Q92" s="3"/>
      <c r="R92" s="3"/>
      <c r="S92" s="3"/>
      <c r="U92" s="3"/>
      <c r="V92" s="3"/>
      <c r="AD92" s="406"/>
      <c r="AE92" s="380"/>
      <c r="AF92" s="376"/>
      <c r="AG92" s="380"/>
      <c r="AH92" s="380"/>
      <c r="AJ92" s="3"/>
      <c r="AL92" s="344"/>
      <c r="AN92" s="204"/>
      <c r="AZ92" s="204"/>
      <c r="BI92" s="204"/>
      <c r="BJ92" s="274"/>
    </row>
    <row r="93" spans="2:62" x14ac:dyDescent="0.25">
      <c r="B93" s="294" t="s">
        <v>781</v>
      </c>
      <c r="C93" s="270" t="s">
        <v>780</v>
      </c>
      <c r="D93" s="293" t="s">
        <v>158</v>
      </c>
      <c r="E93" s="293" t="s">
        <v>862</v>
      </c>
      <c r="F93" s="512" t="s">
        <v>1499</v>
      </c>
      <c r="G93" s="512" t="s">
        <v>1500</v>
      </c>
      <c r="H93" s="512" t="s">
        <v>1554</v>
      </c>
      <c r="I93" s="512" t="s">
        <v>1552</v>
      </c>
      <c r="J93" s="512" t="s">
        <v>1553</v>
      </c>
      <c r="K93" s="512" t="s">
        <v>465</v>
      </c>
      <c r="L93" s="515">
        <v>97222</v>
      </c>
      <c r="M93" s="316" t="s">
        <v>966</v>
      </c>
      <c r="N93" s="426" t="s">
        <v>966</v>
      </c>
      <c r="O93" s="3"/>
      <c r="P93" s="3"/>
      <c r="Q93" s="3"/>
      <c r="R93" s="3"/>
      <c r="S93" s="3"/>
      <c r="U93" s="3"/>
      <c r="V93" s="3"/>
      <c r="AD93" s="406"/>
      <c r="AE93" s="380"/>
      <c r="AF93" s="376"/>
      <c r="AG93" s="380"/>
      <c r="AH93" s="380"/>
      <c r="AJ93" s="3"/>
      <c r="AL93" s="344"/>
      <c r="AN93" s="204"/>
      <c r="AZ93" s="204"/>
      <c r="BI93" s="204"/>
      <c r="BJ93" s="274"/>
    </row>
    <row r="94" spans="2:62" ht="15.75" thickBot="1" x14ac:dyDescent="0.3">
      <c r="B94" s="294" t="s">
        <v>779</v>
      </c>
      <c r="C94" s="270" t="s">
        <v>778</v>
      </c>
      <c r="D94" s="293" t="s">
        <v>145</v>
      </c>
      <c r="E94" s="293" t="s">
        <v>862</v>
      </c>
      <c r="F94" s="440" t="s">
        <v>966</v>
      </c>
      <c r="G94" s="440" t="s">
        <v>966</v>
      </c>
      <c r="H94" s="293" t="s">
        <v>966</v>
      </c>
      <c r="I94" s="316" t="s">
        <v>966</v>
      </c>
      <c r="J94" s="316" t="s">
        <v>966</v>
      </c>
      <c r="K94" s="293" t="s">
        <v>966</v>
      </c>
      <c r="L94" s="316" t="s">
        <v>966</v>
      </c>
      <c r="M94" s="316" t="s">
        <v>966</v>
      </c>
      <c r="N94" s="426" t="s">
        <v>966</v>
      </c>
      <c r="O94" s="3"/>
      <c r="P94" s="3"/>
      <c r="Q94" s="3"/>
      <c r="R94" s="3"/>
      <c r="S94" s="3"/>
      <c r="U94" s="3"/>
      <c r="V94" s="3"/>
      <c r="AD94" s="407"/>
      <c r="AE94" s="394"/>
      <c r="AF94" s="377"/>
      <c r="AG94" s="394"/>
      <c r="AH94" s="394"/>
      <c r="AJ94" s="3"/>
      <c r="AL94" s="344"/>
      <c r="AN94" s="204"/>
      <c r="AZ94" s="204"/>
      <c r="BI94" s="204"/>
      <c r="BJ94" s="274"/>
    </row>
    <row r="95" spans="2:62" ht="15.75" thickTop="1" x14ac:dyDescent="0.25">
      <c r="B95" s="294" t="s">
        <v>749</v>
      </c>
      <c r="C95" s="270" t="s">
        <v>748</v>
      </c>
      <c r="D95" s="293" t="s">
        <v>151</v>
      </c>
      <c r="E95" s="293" t="s">
        <v>1048</v>
      </c>
      <c r="F95" s="440" t="s">
        <v>1159</v>
      </c>
      <c r="G95" s="440" t="s">
        <v>1160</v>
      </c>
      <c r="H95" s="293">
        <v>2568768615</v>
      </c>
      <c r="I95" s="316" t="s">
        <v>1161</v>
      </c>
      <c r="J95" s="316" t="s">
        <v>1162</v>
      </c>
      <c r="K95" s="293" t="s">
        <v>429</v>
      </c>
      <c r="L95" s="316" t="s">
        <v>1163</v>
      </c>
      <c r="M95" s="316" t="s">
        <v>966</v>
      </c>
      <c r="N95" s="426" t="s">
        <v>966</v>
      </c>
      <c r="O95" s="3"/>
      <c r="P95" s="3"/>
      <c r="Q95" s="3"/>
      <c r="R95" s="3"/>
      <c r="S95" s="3"/>
      <c r="U95" s="3"/>
      <c r="V95" s="3"/>
      <c r="AD95" s="204"/>
      <c r="AE95" s="204"/>
      <c r="AF95" s="204"/>
      <c r="AG95" s="204"/>
      <c r="AH95" s="204"/>
      <c r="AJ95" s="3"/>
      <c r="AL95" s="344"/>
      <c r="AN95" s="204"/>
      <c r="AZ95" s="204"/>
      <c r="BI95" s="204"/>
      <c r="BJ95" s="274"/>
    </row>
    <row r="96" spans="2:62" x14ac:dyDescent="0.25">
      <c r="B96" s="294" t="s">
        <v>783</v>
      </c>
      <c r="C96" s="270" t="s">
        <v>782</v>
      </c>
      <c r="D96" s="293" t="s">
        <v>141</v>
      </c>
      <c r="E96" s="293" t="s">
        <v>862</v>
      </c>
      <c r="F96" s="440" t="s">
        <v>1164</v>
      </c>
      <c r="G96" s="440" t="s">
        <v>1165</v>
      </c>
      <c r="H96" s="293" t="s">
        <v>1166</v>
      </c>
      <c r="I96" s="316" t="s">
        <v>1167</v>
      </c>
      <c r="J96" s="316" t="s">
        <v>1168</v>
      </c>
      <c r="K96" s="293" t="s">
        <v>477</v>
      </c>
      <c r="L96" s="316">
        <v>54868</v>
      </c>
      <c r="M96" s="316" t="s">
        <v>966</v>
      </c>
      <c r="N96" s="426" t="s">
        <v>966</v>
      </c>
      <c r="O96" s="3"/>
      <c r="P96" s="3"/>
      <c r="Q96" s="3"/>
      <c r="R96" s="3"/>
      <c r="S96" s="3"/>
      <c r="U96" s="3"/>
      <c r="V96" s="3"/>
      <c r="AD96" s="204"/>
      <c r="AE96" s="204"/>
      <c r="AF96" s="204"/>
      <c r="AG96" s="204"/>
      <c r="AH96" s="204"/>
      <c r="AL96" s="344"/>
      <c r="AN96" s="204"/>
      <c r="AZ96" s="204"/>
      <c r="BI96" s="204"/>
      <c r="BJ96" s="274"/>
    </row>
    <row r="97" spans="2:62" x14ac:dyDescent="0.25">
      <c r="B97" s="294" t="s">
        <v>788</v>
      </c>
      <c r="C97" s="270" t="s">
        <v>787</v>
      </c>
      <c r="D97" s="293" t="s">
        <v>154</v>
      </c>
      <c r="E97" s="293" t="s">
        <v>1048</v>
      </c>
      <c r="F97" s="440" t="s">
        <v>966</v>
      </c>
      <c r="G97" s="440" t="s">
        <v>966</v>
      </c>
      <c r="H97" s="293" t="s">
        <v>966</v>
      </c>
      <c r="I97" s="316" t="s">
        <v>966</v>
      </c>
      <c r="J97" s="316" t="s">
        <v>966</v>
      </c>
      <c r="K97" s="293" t="s">
        <v>966</v>
      </c>
      <c r="L97" s="316" t="s">
        <v>966</v>
      </c>
      <c r="M97" s="316" t="s">
        <v>966</v>
      </c>
      <c r="N97" s="426" t="s">
        <v>966</v>
      </c>
      <c r="O97" s="3"/>
      <c r="P97" s="3"/>
      <c r="Q97" s="3"/>
      <c r="R97" s="3"/>
      <c r="S97" s="3"/>
      <c r="U97" s="3"/>
      <c r="V97" s="3"/>
      <c r="AD97" s="301"/>
      <c r="AE97" s="301"/>
      <c r="AF97" s="301"/>
      <c r="AG97" s="301"/>
      <c r="AH97" s="301"/>
      <c r="AL97" s="344"/>
      <c r="AN97" s="204"/>
      <c r="AZ97" s="204"/>
      <c r="BI97" s="204"/>
      <c r="BJ97" s="274"/>
    </row>
    <row r="98" spans="2:62" x14ac:dyDescent="0.25">
      <c r="B98" s="294" t="s">
        <v>790</v>
      </c>
      <c r="C98" s="270" t="s">
        <v>789</v>
      </c>
      <c r="D98" s="293" t="s">
        <v>151</v>
      </c>
      <c r="E98" s="293" t="s">
        <v>1048</v>
      </c>
      <c r="F98" s="440" t="s">
        <v>1169</v>
      </c>
      <c r="G98" s="440" t="s">
        <v>1170</v>
      </c>
      <c r="H98" s="293" t="s">
        <v>1171</v>
      </c>
      <c r="I98" s="316" t="s">
        <v>1172</v>
      </c>
      <c r="J98" s="316" t="s">
        <v>1173</v>
      </c>
      <c r="K98" s="293" t="s">
        <v>468</v>
      </c>
      <c r="L98" s="316" t="s">
        <v>1174</v>
      </c>
      <c r="M98" s="316" t="s">
        <v>966</v>
      </c>
      <c r="N98" s="426" t="s">
        <v>966</v>
      </c>
      <c r="O98" s="3"/>
      <c r="P98" s="3"/>
      <c r="Q98" s="3"/>
      <c r="R98" s="3"/>
      <c r="S98" s="3"/>
      <c r="U98" s="3"/>
      <c r="V98" s="3"/>
      <c r="AD98" s="301"/>
      <c r="AE98" s="301"/>
      <c r="AF98" s="301"/>
      <c r="AG98" s="301"/>
      <c r="AH98" s="301"/>
      <c r="AL98" s="344"/>
      <c r="AN98" s="204"/>
      <c r="AZ98" s="204"/>
      <c r="BI98" s="204"/>
      <c r="BJ98" s="274"/>
    </row>
    <row r="99" spans="2:62" x14ac:dyDescent="0.25">
      <c r="B99" s="294" t="s">
        <v>784</v>
      </c>
      <c r="C99" s="270" t="s">
        <v>1350</v>
      </c>
      <c r="D99" s="293" t="s">
        <v>145</v>
      </c>
      <c r="E99" s="293" t="s">
        <v>862</v>
      </c>
      <c r="F99" s="440" t="s">
        <v>966</v>
      </c>
      <c r="G99" s="440" t="s">
        <v>966</v>
      </c>
      <c r="H99" s="293" t="s">
        <v>966</v>
      </c>
      <c r="I99" s="316" t="s">
        <v>966</v>
      </c>
      <c r="J99" s="316" t="s">
        <v>966</v>
      </c>
      <c r="K99" s="293" t="s">
        <v>966</v>
      </c>
      <c r="L99" s="316" t="s">
        <v>966</v>
      </c>
      <c r="M99" s="316" t="s">
        <v>966</v>
      </c>
      <c r="N99" s="426" t="s">
        <v>966</v>
      </c>
      <c r="O99" s="3"/>
      <c r="AD99" s="301"/>
      <c r="AE99" s="301"/>
      <c r="AF99" s="301"/>
      <c r="AG99" s="301"/>
      <c r="AH99" s="301"/>
      <c r="AL99" s="344"/>
      <c r="AN99" s="204"/>
      <c r="AZ99" s="204"/>
      <c r="BI99" s="204"/>
      <c r="BJ99" s="274"/>
    </row>
    <row r="100" spans="2:62" x14ac:dyDescent="0.25">
      <c r="B100" s="294" t="s">
        <v>786</v>
      </c>
      <c r="C100" s="270" t="s">
        <v>785</v>
      </c>
      <c r="D100" s="293" t="s">
        <v>136</v>
      </c>
      <c r="E100" s="293" t="s">
        <v>862</v>
      </c>
      <c r="F100" s="440" t="s">
        <v>966</v>
      </c>
      <c r="G100" s="440" t="s">
        <v>966</v>
      </c>
      <c r="H100" s="293" t="s">
        <v>966</v>
      </c>
      <c r="I100" s="316" t="s">
        <v>966</v>
      </c>
      <c r="J100" s="316" t="s">
        <v>966</v>
      </c>
      <c r="K100" s="293" t="s">
        <v>966</v>
      </c>
      <c r="L100" s="316" t="s">
        <v>966</v>
      </c>
      <c r="M100" s="316" t="s">
        <v>966</v>
      </c>
      <c r="N100" s="426" t="s">
        <v>966</v>
      </c>
      <c r="O100" s="3"/>
      <c r="AD100" s="301"/>
      <c r="AE100" s="301"/>
      <c r="AF100" s="301"/>
      <c r="AG100" s="301"/>
      <c r="AH100" s="301"/>
      <c r="AL100" s="344"/>
      <c r="AN100" s="204"/>
      <c r="AZ100" s="204"/>
      <c r="BI100" s="204"/>
      <c r="BJ100" s="274"/>
    </row>
    <row r="101" spans="2:62" x14ac:dyDescent="0.25">
      <c r="B101" s="294" t="s">
        <v>794</v>
      </c>
      <c r="C101" s="270" t="s">
        <v>793</v>
      </c>
      <c r="D101" s="293" t="s">
        <v>154</v>
      </c>
      <c r="E101" s="293" t="s">
        <v>862</v>
      </c>
      <c r="F101" s="440" t="s">
        <v>966</v>
      </c>
      <c r="G101" s="440" t="s">
        <v>966</v>
      </c>
      <c r="H101" s="293" t="s">
        <v>966</v>
      </c>
      <c r="I101" s="316" t="s">
        <v>966</v>
      </c>
      <c r="J101" s="316" t="s">
        <v>966</v>
      </c>
      <c r="K101" s="293" t="s">
        <v>966</v>
      </c>
      <c r="L101" s="316" t="s">
        <v>966</v>
      </c>
      <c r="M101" s="316" t="s">
        <v>966</v>
      </c>
      <c r="N101" s="426" t="s">
        <v>966</v>
      </c>
      <c r="O101" s="3"/>
      <c r="AD101" s="301"/>
      <c r="AE101" s="301"/>
      <c r="AF101" s="301"/>
      <c r="AG101" s="301"/>
      <c r="AH101" s="301"/>
      <c r="AL101" s="344"/>
      <c r="AN101" s="204"/>
      <c r="AZ101" s="204"/>
      <c r="BI101" s="204"/>
      <c r="BJ101" s="274"/>
    </row>
    <row r="102" spans="2:62" x14ac:dyDescent="0.25">
      <c r="B102" s="295" t="s">
        <v>792</v>
      </c>
      <c r="C102" s="290" t="s">
        <v>791</v>
      </c>
      <c r="D102" s="293" t="s">
        <v>136</v>
      </c>
      <c r="E102" s="293" t="s">
        <v>862</v>
      </c>
      <c r="F102" s="440" t="s">
        <v>966</v>
      </c>
      <c r="G102" s="440" t="s">
        <v>966</v>
      </c>
      <c r="H102" s="293" t="s">
        <v>966</v>
      </c>
      <c r="I102" s="316" t="s">
        <v>966</v>
      </c>
      <c r="J102" s="316" t="s">
        <v>966</v>
      </c>
      <c r="K102" s="293" t="s">
        <v>966</v>
      </c>
      <c r="L102" s="316" t="s">
        <v>966</v>
      </c>
      <c r="M102" s="316" t="s">
        <v>966</v>
      </c>
      <c r="N102" s="426" t="s">
        <v>966</v>
      </c>
      <c r="O102" s="3"/>
      <c r="AD102" s="301"/>
      <c r="AE102" s="301"/>
      <c r="AF102" s="301"/>
      <c r="AG102" s="301"/>
      <c r="AH102" s="301"/>
      <c r="AL102" s="344"/>
      <c r="AN102" s="204"/>
      <c r="AZ102" s="204"/>
      <c r="BI102" s="204"/>
      <c r="BJ102" s="274"/>
    </row>
    <row r="103" spans="2:62" x14ac:dyDescent="0.25">
      <c r="B103" s="295" t="s">
        <v>796</v>
      </c>
      <c r="C103" s="290" t="s">
        <v>795</v>
      </c>
      <c r="D103" s="293" t="s">
        <v>145</v>
      </c>
      <c r="E103" s="293" t="s">
        <v>862</v>
      </c>
      <c r="F103" s="440" t="s">
        <v>1195</v>
      </c>
      <c r="G103" s="440" t="s">
        <v>1196</v>
      </c>
      <c r="H103" s="293"/>
      <c r="I103" s="316" t="s">
        <v>1197</v>
      </c>
      <c r="J103" s="316" t="s">
        <v>1198</v>
      </c>
      <c r="K103" s="293" t="s">
        <v>458</v>
      </c>
      <c r="L103" s="316">
        <v>8086</v>
      </c>
      <c r="M103" s="316" t="s">
        <v>966</v>
      </c>
      <c r="N103" s="426" t="s">
        <v>966</v>
      </c>
      <c r="O103" s="3"/>
      <c r="AD103" s="301"/>
      <c r="AE103" s="301"/>
      <c r="AF103" s="301"/>
      <c r="AG103" s="301"/>
      <c r="AH103" s="301"/>
      <c r="AL103" s="344"/>
      <c r="AN103" s="204"/>
      <c r="AZ103" s="204"/>
      <c r="BI103" s="204"/>
      <c r="BJ103" s="274"/>
    </row>
    <row r="104" spans="2:62" x14ac:dyDescent="0.25">
      <c r="B104" s="295" t="s">
        <v>798</v>
      </c>
      <c r="C104" s="290" t="s">
        <v>797</v>
      </c>
      <c r="D104" s="293" t="s">
        <v>136</v>
      </c>
      <c r="E104" s="293" t="s">
        <v>862</v>
      </c>
      <c r="F104" s="440" t="s">
        <v>966</v>
      </c>
      <c r="G104" s="440" t="s">
        <v>966</v>
      </c>
      <c r="H104" s="293" t="s">
        <v>966</v>
      </c>
      <c r="I104" s="316" t="s">
        <v>966</v>
      </c>
      <c r="J104" s="316" t="s">
        <v>966</v>
      </c>
      <c r="K104" s="293" t="s">
        <v>966</v>
      </c>
      <c r="L104" s="316" t="s">
        <v>966</v>
      </c>
      <c r="M104" s="316" t="s">
        <v>966</v>
      </c>
      <c r="N104" s="426" t="s">
        <v>966</v>
      </c>
      <c r="O104" s="3"/>
      <c r="AD104" s="301"/>
      <c r="AE104" s="301"/>
      <c r="AF104" s="301"/>
      <c r="AG104" s="301"/>
      <c r="AH104" s="301"/>
      <c r="AL104" s="344"/>
      <c r="AN104" s="204"/>
      <c r="AZ104" s="204"/>
      <c r="BI104" s="204"/>
      <c r="BJ104" s="274"/>
    </row>
    <row r="105" spans="2:62" x14ac:dyDescent="0.25">
      <c r="B105" s="295" t="s">
        <v>800</v>
      </c>
      <c r="C105" s="290" t="s">
        <v>799</v>
      </c>
      <c r="D105" s="293" t="s">
        <v>151</v>
      </c>
      <c r="E105" s="293" t="s">
        <v>862</v>
      </c>
      <c r="F105" s="440" t="s">
        <v>966</v>
      </c>
      <c r="G105" s="440" t="s">
        <v>966</v>
      </c>
      <c r="H105" s="293" t="s">
        <v>966</v>
      </c>
      <c r="I105" s="316" t="s">
        <v>966</v>
      </c>
      <c r="J105" s="316" t="s">
        <v>966</v>
      </c>
      <c r="K105" s="293" t="s">
        <v>966</v>
      </c>
      <c r="L105" s="316" t="s">
        <v>966</v>
      </c>
      <c r="M105" s="316" t="s">
        <v>966</v>
      </c>
      <c r="N105" s="426" t="s">
        <v>966</v>
      </c>
      <c r="O105" s="3"/>
      <c r="AD105" s="301"/>
      <c r="AE105" s="301"/>
      <c r="AF105" s="301"/>
      <c r="AG105" s="301"/>
      <c r="AH105" s="301"/>
      <c r="AL105" s="344"/>
      <c r="AN105" s="204"/>
      <c r="AZ105" s="204"/>
      <c r="BI105" s="204"/>
      <c r="BJ105" s="274"/>
    </row>
    <row r="106" spans="2:62" x14ac:dyDescent="0.25">
      <c r="B106" s="295" t="s">
        <v>801</v>
      </c>
      <c r="C106" s="290" t="s">
        <v>808</v>
      </c>
      <c r="D106" s="293" t="s">
        <v>145</v>
      </c>
      <c r="E106" s="293" t="s">
        <v>862</v>
      </c>
      <c r="F106" s="440" t="s">
        <v>966</v>
      </c>
      <c r="G106" s="440" t="s">
        <v>966</v>
      </c>
      <c r="H106" s="293" t="s">
        <v>966</v>
      </c>
      <c r="I106" s="316" t="s">
        <v>966</v>
      </c>
      <c r="J106" s="316" t="s">
        <v>966</v>
      </c>
      <c r="K106" s="293" t="s">
        <v>966</v>
      </c>
      <c r="L106" s="316" t="s">
        <v>966</v>
      </c>
      <c r="M106" s="316" t="s">
        <v>966</v>
      </c>
      <c r="N106" s="426" t="s">
        <v>966</v>
      </c>
      <c r="AD106" s="301"/>
      <c r="AE106" s="301"/>
      <c r="AF106" s="301"/>
      <c r="AG106" s="301"/>
      <c r="AH106" s="301"/>
      <c r="AL106" s="344"/>
      <c r="AN106" s="204"/>
      <c r="AZ106" s="204"/>
      <c r="BI106" s="204"/>
      <c r="BJ106" s="274"/>
    </row>
    <row r="107" spans="2:62" x14ac:dyDescent="0.25">
      <c r="B107" s="454" t="s">
        <v>1054</v>
      </c>
      <c r="C107" s="457" t="s">
        <v>1351</v>
      </c>
      <c r="D107" s="459" t="s">
        <v>145</v>
      </c>
      <c r="E107" s="459"/>
      <c r="F107" s="455" t="s">
        <v>1055</v>
      </c>
      <c r="G107" s="467" t="s">
        <v>1056</v>
      </c>
      <c r="H107" s="454"/>
      <c r="I107" s="455" t="s">
        <v>1057</v>
      </c>
      <c r="J107" s="454" t="s">
        <v>1058</v>
      </c>
      <c r="K107" s="466" t="s">
        <v>449</v>
      </c>
      <c r="L107" s="316">
        <v>1463</v>
      </c>
      <c r="M107" s="316"/>
      <c r="N107" s="426"/>
      <c r="AD107" s="301"/>
      <c r="AE107" s="301"/>
      <c r="AF107" s="301"/>
      <c r="AG107" s="301"/>
      <c r="AH107" s="301"/>
      <c r="AL107" s="344"/>
      <c r="AN107" s="204"/>
      <c r="AZ107" s="204"/>
      <c r="BI107" s="204"/>
      <c r="BJ107" s="274"/>
    </row>
    <row r="108" spans="2:62" x14ac:dyDescent="0.25">
      <c r="B108" s="458" t="s">
        <v>1079</v>
      </c>
      <c r="C108" s="290" t="s">
        <v>1342</v>
      </c>
      <c r="D108" s="293" t="s">
        <v>145</v>
      </c>
      <c r="E108" s="293"/>
      <c r="F108" s="440" t="s">
        <v>1080</v>
      </c>
      <c r="G108" s="440" t="s">
        <v>1081</v>
      </c>
      <c r="H108" s="293" t="s">
        <v>1082</v>
      </c>
      <c r="I108" s="316" t="s">
        <v>1083</v>
      </c>
      <c r="J108" s="316" t="s">
        <v>1084</v>
      </c>
      <c r="K108" s="293" t="s">
        <v>449</v>
      </c>
      <c r="L108" s="316">
        <v>1824</v>
      </c>
      <c r="M108" s="316"/>
      <c r="N108" s="426"/>
      <c r="AD108" s="301"/>
      <c r="AE108" s="301"/>
      <c r="AF108" s="301"/>
      <c r="AG108" s="301"/>
      <c r="AH108" s="301"/>
      <c r="AL108" s="344"/>
      <c r="AM108" s="204"/>
      <c r="AN108" s="204"/>
      <c r="AO108" s="204"/>
      <c r="AP108" s="204"/>
      <c r="AQ108" s="5"/>
      <c r="AR108" s="204"/>
      <c r="AS108" s="204"/>
      <c r="AT108" s="204"/>
      <c r="AU108" s="7"/>
      <c r="AV108" s="204"/>
      <c r="AW108" s="204"/>
      <c r="AX108" s="5"/>
      <c r="AY108" s="5"/>
      <c r="AZ108" s="204"/>
      <c r="BA108" s="204"/>
      <c r="BB108" s="204"/>
      <c r="BC108" s="204"/>
      <c r="BD108" s="204"/>
      <c r="BE108" s="204"/>
      <c r="BF108" s="204"/>
      <c r="BG108" s="204"/>
      <c r="BI108" s="204"/>
      <c r="BJ108" s="274"/>
    </row>
    <row r="109" spans="2:62" ht="15.75" thickBot="1" x14ac:dyDescent="0.3">
      <c r="B109" s="295" t="s">
        <v>1092</v>
      </c>
      <c r="C109" s="290" t="s">
        <v>1526</v>
      </c>
      <c r="D109" s="293" t="s">
        <v>154</v>
      </c>
      <c r="E109" s="293"/>
      <c r="F109" s="440" t="s">
        <v>1093</v>
      </c>
      <c r="G109" s="440" t="s">
        <v>1094</v>
      </c>
      <c r="H109" s="293"/>
      <c r="I109" s="316" t="s">
        <v>1095</v>
      </c>
      <c r="J109" s="316" t="s">
        <v>1096</v>
      </c>
      <c r="K109" s="293" t="s">
        <v>453</v>
      </c>
      <c r="L109" s="316" t="s">
        <v>1097</v>
      </c>
      <c r="M109" s="316"/>
      <c r="N109" s="426"/>
      <c r="AD109" s="301"/>
      <c r="AE109" s="301"/>
      <c r="AF109" s="301"/>
      <c r="AG109" s="301"/>
      <c r="AH109" s="301"/>
      <c r="AL109" s="345"/>
      <c r="AM109" s="346"/>
      <c r="AN109" s="346"/>
      <c r="AO109" s="346"/>
      <c r="AP109" s="346"/>
      <c r="AQ109" s="350"/>
      <c r="AR109" s="346"/>
      <c r="AS109" s="346"/>
      <c r="AT109" s="346"/>
      <c r="AU109" s="437"/>
      <c r="AV109" s="346"/>
      <c r="AW109" s="346"/>
      <c r="AX109" s="350"/>
      <c r="AY109" s="350"/>
      <c r="AZ109" s="346"/>
      <c r="BA109" s="346"/>
      <c r="BB109" s="204"/>
      <c r="BC109" s="204"/>
      <c r="BD109" s="204"/>
      <c r="BE109" s="204"/>
      <c r="BF109" s="204"/>
      <c r="BG109" s="204"/>
      <c r="BI109" s="346"/>
      <c r="BJ109" s="347"/>
    </row>
    <row r="110" spans="2:62" ht="15.75" thickTop="1" x14ac:dyDescent="0.25">
      <c r="B110" s="295"/>
      <c r="C110" s="290"/>
      <c r="D110" s="293"/>
      <c r="E110" s="293"/>
      <c r="F110" s="440"/>
      <c r="G110" s="440"/>
      <c r="H110" s="293"/>
      <c r="I110" s="316"/>
      <c r="J110" s="316"/>
      <c r="K110" s="293"/>
      <c r="L110" s="316"/>
      <c r="M110" s="316"/>
      <c r="N110" s="426"/>
      <c r="AD110" s="301"/>
      <c r="AE110" s="301"/>
      <c r="AF110" s="301"/>
      <c r="AG110" s="301"/>
      <c r="AH110" s="301"/>
    </row>
    <row r="111" spans="2:62" x14ac:dyDescent="0.25">
      <c r="B111" s="295"/>
      <c r="C111" s="290"/>
      <c r="D111" s="293"/>
      <c r="E111" s="293"/>
      <c r="F111" s="440"/>
      <c r="G111" s="440"/>
      <c r="H111" s="293"/>
      <c r="I111" s="316"/>
      <c r="J111" s="316"/>
      <c r="K111" s="293"/>
      <c r="L111" s="316"/>
      <c r="M111" s="316"/>
      <c r="N111" s="426"/>
      <c r="AD111" s="301"/>
      <c r="AE111" s="301"/>
      <c r="AF111" s="301"/>
      <c r="AG111" s="301"/>
      <c r="AH111" s="301"/>
    </row>
    <row r="112" spans="2:62" x14ac:dyDescent="0.25">
      <c r="B112" s="295"/>
      <c r="C112" s="290"/>
      <c r="D112" s="293"/>
      <c r="E112" s="293"/>
      <c r="F112" s="440"/>
      <c r="G112" s="440"/>
      <c r="H112" s="293"/>
      <c r="I112" s="316"/>
      <c r="J112" s="316"/>
      <c r="K112" s="293"/>
      <c r="L112" s="316"/>
      <c r="M112" s="316"/>
      <c r="N112" s="426"/>
      <c r="AD112" s="301"/>
      <c r="AE112" s="301"/>
      <c r="AF112" s="301"/>
      <c r="AG112" s="301"/>
      <c r="AH112" s="301"/>
    </row>
    <row r="113" spans="2:34" x14ac:dyDescent="0.25">
      <c r="B113" s="295"/>
      <c r="C113" s="290"/>
      <c r="D113" s="293"/>
      <c r="E113" s="293"/>
      <c r="F113" s="440"/>
      <c r="G113" s="440"/>
      <c r="H113" s="293"/>
      <c r="I113" s="316"/>
      <c r="J113" s="316"/>
      <c r="K113" s="293"/>
      <c r="L113" s="316"/>
      <c r="M113" s="316"/>
      <c r="N113" s="426"/>
      <c r="AD113" s="3"/>
      <c r="AE113" s="3"/>
      <c r="AF113" s="3"/>
      <c r="AG113" s="3"/>
      <c r="AH113" s="3"/>
    </row>
    <row r="114" spans="2:34" x14ac:dyDescent="0.25">
      <c r="B114" s="295"/>
      <c r="C114" s="290"/>
      <c r="D114" s="293"/>
      <c r="E114" s="293"/>
      <c r="F114" s="440"/>
      <c r="G114" s="440"/>
      <c r="H114" s="293"/>
      <c r="I114" s="316"/>
      <c r="J114" s="316"/>
      <c r="K114" s="293"/>
      <c r="L114" s="316"/>
      <c r="M114" s="316"/>
      <c r="N114" s="426"/>
      <c r="AD114" s="3"/>
      <c r="AE114" s="3"/>
      <c r="AF114" s="3"/>
      <c r="AG114" s="3"/>
      <c r="AH114" s="3"/>
    </row>
    <row r="115" spans="2:34" x14ac:dyDescent="0.25">
      <c r="B115" s="295"/>
      <c r="C115" s="290"/>
      <c r="D115" s="293"/>
      <c r="E115" s="293"/>
      <c r="F115" s="440"/>
      <c r="G115" s="440"/>
      <c r="H115" s="293"/>
      <c r="I115" s="316"/>
      <c r="J115" s="316"/>
      <c r="K115" s="293"/>
      <c r="L115" s="316"/>
      <c r="M115" s="316"/>
      <c r="N115" s="426"/>
      <c r="AD115" s="3"/>
      <c r="AE115" s="3"/>
      <c r="AF115" s="3"/>
      <c r="AG115" s="3"/>
      <c r="AH115" s="3"/>
    </row>
    <row r="116" spans="2:34" x14ac:dyDescent="0.25">
      <c r="B116" s="295"/>
      <c r="C116" s="290"/>
      <c r="D116" s="293"/>
      <c r="E116" s="293"/>
      <c r="F116" s="440"/>
      <c r="G116" s="440"/>
      <c r="H116" s="293"/>
      <c r="I116" s="316"/>
      <c r="J116" s="316"/>
      <c r="K116" s="293"/>
      <c r="L116" s="316"/>
      <c r="M116" s="316"/>
      <c r="N116" s="426"/>
      <c r="AD116" s="3"/>
      <c r="AE116" s="3"/>
      <c r="AF116" s="3"/>
      <c r="AG116" s="3"/>
      <c r="AH116" s="3"/>
    </row>
    <row r="117" spans="2:34" x14ac:dyDescent="0.25">
      <c r="B117" s="295"/>
      <c r="C117" s="290"/>
      <c r="D117" s="293"/>
      <c r="E117" s="293"/>
      <c r="F117" s="440"/>
      <c r="G117" s="440"/>
      <c r="H117" s="293"/>
      <c r="I117" s="316"/>
      <c r="J117" s="316"/>
      <c r="K117" s="293"/>
      <c r="L117" s="316"/>
      <c r="M117" s="316"/>
      <c r="N117" s="426"/>
      <c r="AD117" s="3"/>
      <c r="AE117" s="3"/>
      <c r="AF117" s="3"/>
      <c r="AG117" s="3"/>
      <c r="AH117" s="3"/>
    </row>
    <row r="118" spans="2:34" x14ac:dyDescent="0.25">
      <c r="B118" s="295"/>
      <c r="C118" s="290"/>
      <c r="D118" s="293"/>
      <c r="E118" s="293"/>
      <c r="F118" s="440"/>
      <c r="G118" s="440"/>
      <c r="H118" s="293"/>
      <c r="I118" s="316"/>
      <c r="J118" s="316"/>
      <c r="K118" s="293"/>
      <c r="L118" s="316"/>
      <c r="M118" s="316"/>
      <c r="N118" s="426"/>
      <c r="AD118" s="3"/>
      <c r="AE118" s="3"/>
      <c r="AF118" s="3"/>
      <c r="AG118" s="3"/>
      <c r="AH118" s="3"/>
    </row>
    <row r="119" spans="2:34" x14ac:dyDescent="0.25">
      <c r="B119" s="295"/>
      <c r="C119" s="290"/>
      <c r="D119" s="293"/>
      <c r="E119" s="293"/>
      <c r="F119" s="440"/>
      <c r="G119" s="440"/>
      <c r="H119" s="293"/>
      <c r="I119" s="316"/>
      <c r="J119" s="316"/>
      <c r="K119" s="293"/>
      <c r="L119" s="316"/>
      <c r="M119" s="316"/>
      <c r="N119" s="426"/>
      <c r="AD119" s="3"/>
      <c r="AE119" s="3"/>
      <c r="AF119" s="3"/>
      <c r="AG119" s="3"/>
      <c r="AH119" s="3"/>
    </row>
    <row r="120" spans="2:34" x14ac:dyDescent="0.25">
      <c r="B120" s="295"/>
      <c r="C120" s="290"/>
      <c r="D120" s="293"/>
      <c r="E120" s="293"/>
      <c r="F120" s="440"/>
      <c r="G120" s="440"/>
      <c r="H120" s="293"/>
      <c r="I120" s="316"/>
      <c r="J120" s="316"/>
      <c r="K120" s="293"/>
      <c r="L120" s="316"/>
      <c r="M120" s="316"/>
      <c r="N120" s="426"/>
      <c r="AD120" s="3"/>
      <c r="AE120" s="3"/>
      <c r="AF120" s="3"/>
      <c r="AG120" s="3"/>
      <c r="AH120" s="3"/>
    </row>
    <row r="121" spans="2:34" x14ac:dyDescent="0.25">
      <c r="B121" s="295"/>
      <c r="C121" s="290"/>
      <c r="D121" s="293"/>
      <c r="E121" s="293"/>
      <c r="F121" s="440"/>
      <c r="G121" s="440"/>
      <c r="H121" s="293"/>
      <c r="I121" s="316"/>
      <c r="J121" s="316"/>
      <c r="K121" s="293"/>
      <c r="L121" s="316"/>
      <c r="M121" s="316"/>
      <c r="N121" s="426"/>
      <c r="AD121" s="3"/>
      <c r="AE121" s="3"/>
      <c r="AF121" s="3"/>
      <c r="AG121" s="3"/>
      <c r="AH121" s="3"/>
    </row>
    <row r="122" spans="2:34" x14ac:dyDescent="0.25">
      <c r="B122" s="295"/>
      <c r="C122" s="290"/>
      <c r="D122" s="293"/>
      <c r="E122" s="293"/>
      <c r="F122" s="440"/>
      <c r="G122" s="440"/>
      <c r="H122" s="293"/>
      <c r="I122" s="316"/>
      <c r="J122" s="316"/>
      <c r="K122" s="293"/>
      <c r="L122" s="316"/>
      <c r="M122" s="316"/>
      <c r="N122" s="426"/>
      <c r="AD122" s="3"/>
      <c r="AE122" s="3"/>
      <c r="AF122" s="3"/>
      <c r="AG122" s="3"/>
      <c r="AH122" s="3"/>
    </row>
    <row r="123" spans="2:34" x14ac:dyDescent="0.25">
      <c r="B123" s="295"/>
      <c r="C123" s="290"/>
      <c r="D123" s="293"/>
      <c r="E123" s="293"/>
      <c r="F123" s="440"/>
      <c r="G123" s="440"/>
      <c r="H123" s="293"/>
      <c r="I123" s="316"/>
      <c r="J123" s="316"/>
      <c r="K123" s="293"/>
      <c r="L123" s="316"/>
      <c r="M123" s="316"/>
      <c r="N123" s="426"/>
      <c r="AD123" s="3"/>
      <c r="AE123" s="3"/>
      <c r="AF123" s="3"/>
      <c r="AG123" s="3"/>
      <c r="AH123" s="3"/>
    </row>
    <row r="124" spans="2:34" x14ac:dyDescent="0.25">
      <c r="B124" s="295"/>
      <c r="C124" s="290"/>
      <c r="D124" s="293"/>
      <c r="E124" s="293"/>
      <c r="F124" s="440"/>
      <c r="G124" s="440"/>
      <c r="H124" s="293"/>
      <c r="I124" s="316"/>
      <c r="J124" s="316"/>
      <c r="K124" s="293"/>
      <c r="L124" s="316"/>
      <c r="M124" s="316"/>
      <c r="N124" s="426"/>
      <c r="AD124" s="3"/>
      <c r="AE124" s="3"/>
      <c r="AF124" s="3"/>
      <c r="AG124" s="3"/>
      <c r="AH124" s="3"/>
    </row>
    <row r="125" spans="2:34" x14ac:dyDescent="0.25">
      <c r="B125" s="295"/>
      <c r="C125" s="290"/>
      <c r="D125" s="293"/>
      <c r="E125" s="293"/>
      <c r="F125" s="440"/>
      <c r="G125" s="440"/>
      <c r="H125" s="293"/>
      <c r="I125" s="316"/>
      <c r="J125" s="316"/>
      <c r="K125" s="293"/>
      <c r="L125" s="316"/>
      <c r="M125" s="316"/>
      <c r="N125" s="426"/>
      <c r="AD125" s="3"/>
      <c r="AE125" s="3"/>
      <c r="AF125" s="3"/>
      <c r="AG125" s="3"/>
      <c r="AH125" s="3"/>
    </row>
    <row r="126" spans="2:34" x14ac:dyDescent="0.25">
      <c r="B126" s="295"/>
      <c r="C126" s="290"/>
      <c r="D126" s="293"/>
      <c r="E126" s="293"/>
      <c r="F126" s="440"/>
      <c r="G126" s="440"/>
      <c r="H126" s="293"/>
      <c r="I126" s="316"/>
      <c r="J126" s="316"/>
      <c r="K126" s="293"/>
      <c r="L126" s="316"/>
      <c r="M126" s="316"/>
      <c r="N126" s="426"/>
      <c r="AD126" s="3"/>
      <c r="AE126" s="3"/>
      <c r="AF126" s="3"/>
      <c r="AG126" s="3"/>
      <c r="AH126" s="3"/>
    </row>
    <row r="127" spans="2:34" x14ac:dyDescent="0.25">
      <c r="B127" s="295"/>
      <c r="C127" s="290"/>
      <c r="D127" s="293"/>
      <c r="E127" s="293"/>
      <c r="F127" s="440"/>
      <c r="G127" s="440"/>
      <c r="H127" s="293"/>
      <c r="I127" s="316"/>
      <c r="J127" s="316"/>
      <c r="K127" s="293"/>
      <c r="L127" s="316"/>
      <c r="M127" s="316"/>
      <c r="N127" s="426"/>
      <c r="AD127" s="3"/>
      <c r="AE127" s="3"/>
      <c r="AF127" s="3"/>
      <c r="AG127" s="3"/>
      <c r="AH127" s="3"/>
    </row>
    <row r="128" spans="2:34" x14ac:dyDescent="0.25">
      <c r="B128" s="295"/>
      <c r="C128" s="290"/>
      <c r="D128" s="293"/>
      <c r="E128" s="293"/>
      <c r="F128" s="440"/>
      <c r="G128" s="440"/>
      <c r="H128" s="293"/>
      <c r="I128" s="316"/>
      <c r="J128" s="316"/>
      <c r="K128" s="293"/>
      <c r="L128" s="316"/>
      <c r="M128" s="316"/>
      <c r="N128" s="426"/>
      <c r="AD128" s="3"/>
      <c r="AE128" s="3"/>
      <c r="AF128" s="3"/>
      <c r="AG128" s="3"/>
      <c r="AH128" s="3"/>
    </row>
    <row r="129" spans="2:34" x14ac:dyDescent="0.25">
      <c r="B129" s="295"/>
      <c r="C129" s="290"/>
      <c r="D129" s="293"/>
      <c r="E129" s="293"/>
      <c r="F129" s="440"/>
      <c r="G129" s="440"/>
      <c r="H129" s="293"/>
      <c r="I129" s="316"/>
      <c r="J129" s="316"/>
      <c r="K129" s="293"/>
      <c r="L129" s="316"/>
      <c r="M129" s="316"/>
      <c r="N129" s="426"/>
      <c r="AD129" s="3"/>
      <c r="AE129" s="3"/>
      <c r="AF129" s="3"/>
      <c r="AG129" s="3"/>
      <c r="AH129" s="3"/>
    </row>
    <row r="130" spans="2:34" x14ac:dyDescent="0.25">
      <c r="B130" s="295"/>
      <c r="C130" s="290"/>
      <c r="D130" s="293"/>
      <c r="E130" s="293"/>
      <c r="F130" s="440"/>
      <c r="G130" s="440"/>
      <c r="H130" s="293"/>
      <c r="I130" s="316"/>
      <c r="J130" s="316"/>
      <c r="K130" s="293"/>
      <c r="L130" s="316"/>
      <c r="M130" s="316"/>
      <c r="N130" s="426"/>
    </row>
    <row r="131" spans="2:34" x14ac:dyDescent="0.25">
      <c r="B131" s="295"/>
      <c r="C131" s="290"/>
      <c r="D131" s="293"/>
      <c r="E131" s="293"/>
      <c r="F131" s="440"/>
      <c r="G131" s="440"/>
      <c r="H131" s="293"/>
      <c r="I131" s="316"/>
      <c r="J131" s="316"/>
      <c r="K131" s="293"/>
      <c r="L131" s="316"/>
      <c r="M131" s="316"/>
      <c r="N131" s="426"/>
    </row>
    <row r="132" spans="2:34" x14ac:dyDescent="0.25">
      <c r="B132" s="295"/>
      <c r="C132" s="290"/>
      <c r="D132" s="293"/>
      <c r="E132" s="293"/>
      <c r="F132" s="440"/>
      <c r="G132" s="440"/>
      <c r="H132" s="293"/>
      <c r="I132" s="316"/>
      <c r="J132" s="316"/>
      <c r="K132" s="316"/>
      <c r="L132" s="316"/>
      <c r="M132" s="316"/>
      <c r="N132" s="426"/>
    </row>
    <row r="133" spans="2:34" x14ac:dyDescent="0.25">
      <c r="B133" s="295"/>
      <c r="C133" s="290"/>
      <c r="D133" s="293"/>
      <c r="E133" s="293"/>
      <c r="F133" s="440"/>
      <c r="G133" s="440"/>
      <c r="H133" s="293"/>
      <c r="I133" s="316"/>
      <c r="J133" s="316"/>
      <c r="K133" s="316"/>
      <c r="L133" s="316"/>
      <c r="M133" s="316"/>
      <c r="N133" s="426"/>
    </row>
    <row r="134" spans="2:34" x14ac:dyDescent="0.25">
      <c r="B134" s="295"/>
      <c r="C134" s="290"/>
      <c r="D134" s="293"/>
      <c r="E134" s="293"/>
      <c r="F134" s="440"/>
      <c r="G134" s="440"/>
      <c r="H134" s="293"/>
      <c r="I134" s="316"/>
      <c r="J134" s="316"/>
      <c r="K134" s="316"/>
      <c r="L134" s="316"/>
      <c r="M134" s="316"/>
      <c r="N134" s="426"/>
    </row>
    <row r="135" spans="2:34" x14ac:dyDescent="0.25">
      <c r="B135" s="295"/>
      <c r="C135" s="290"/>
      <c r="D135" s="293"/>
      <c r="E135" s="293"/>
      <c r="F135" s="440"/>
      <c r="G135" s="440"/>
      <c r="H135" s="293"/>
      <c r="I135" s="316"/>
      <c r="J135" s="316"/>
      <c r="K135" s="316"/>
      <c r="L135" s="316"/>
      <c r="M135" s="316"/>
      <c r="N135" s="426"/>
    </row>
    <row r="136" spans="2:34" x14ac:dyDescent="0.25">
      <c r="B136" s="295"/>
      <c r="C136" s="290"/>
      <c r="D136" s="293"/>
      <c r="E136" s="293"/>
      <c r="F136" s="440"/>
      <c r="G136" s="440"/>
      <c r="H136" s="293"/>
      <c r="I136" s="316"/>
      <c r="J136" s="316"/>
      <c r="K136" s="316"/>
      <c r="L136" s="316"/>
      <c r="M136" s="316"/>
      <c r="N136" s="426"/>
    </row>
    <row r="137" spans="2:34" x14ac:dyDescent="0.25">
      <c r="B137" s="295"/>
      <c r="C137" s="290"/>
      <c r="D137" s="293"/>
      <c r="E137" s="293"/>
      <c r="F137" s="440"/>
      <c r="G137" s="440"/>
      <c r="H137" s="293"/>
      <c r="I137" s="316"/>
      <c r="J137" s="316"/>
      <c r="K137" s="316"/>
      <c r="L137" s="316"/>
      <c r="M137" s="316"/>
      <c r="N137" s="426"/>
    </row>
    <row r="138" spans="2:34" x14ac:dyDescent="0.25">
      <c r="B138" s="295"/>
      <c r="C138" s="290"/>
      <c r="D138" s="293"/>
      <c r="E138" s="293"/>
      <c r="F138" s="440"/>
      <c r="G138" s="440"/>
      <c r="H138" s="293"/>
      <c r="I138" s="316"/>
      <c r="J138" s="316"/>
      <c r="K138" s="316"/>
      <c r="L138" s="316"/>
      <c r="M138" s="316"/>
      <c r="N138" s="426"/>
    </row>
    <row r="139" spans="2:34" x14ac:dyDescent="0.25">
      <c r="B139" s="295"/>
      <c r="C139" s="290"/>
      <c r="D139" s="293"/>
      <c r="E139" s="293"/>
      <c r="F139" s="440"/>
      <c r="G139" s="440"/>
      <c r="H139" s="293"/>
      <c r="I139" s="316"/>
      <c r="J139" s="316"/>
      <c r="K139" s="316"/>
      <c r="L139" s="316"/>
      <c r="M139" s="316"/>
      <c r="N139" s="426"/>
    </row>
    <row r="140" spans="2:34" x14ac:dyDescent="0.25">
      <c r="B140" s="295"/>
      <c r="C140" s="290"/>
      <c r="D140" s="293"/>
      <c r="E140" s="293"/>
      <c r="F140" s="440"/>
      <c r="G140" s="440"/>
      <c r="H140" s="293"/>
      <c r="I140" s="316"/>
      <c r="J140" s="316"/>
      <c r="K140" s="316"/>
      <c r="L140" s="316"/>
      <c r="M140" s="316"/>
      <c r="N140" s="426"/>
    </row>
    <row r="141" spans="2:34" x14ac:dyDescent="0.25">
      <c r="B141" s="295"/>
      <c r="C141" s="290"/>
      <c r="D141" s="293"/>
      <c r="E141" s="293"/>
      <c r="F141" s="440"/>
      <c r="G141" s="440"/>
      <c r="H141" s="293"/>
      <c r="I141" s="316"/>
      <c r="J141" s="316"/>
      <c r="K141" s="316"/>
      <c r="L141" s="316"/>
      <c r="M141" s="316"/>
      <c r="N141" s="426"/>
    </row>
    <row r="142" spans="2:34" x14ac:dyDescent="0.25">
      <c r="B142" s="295"/>
      <c r="C142" s="290"/>
      <c r="D142" s="293"/>
      <c r="E142" s="293"/>
      <c r="F142" s="440"/>
      <c r="G142" s="440"/>
      <c r="H142" s="293"/>
      <c r="I142" s="316"/>
      <c r="J142" s="316"/>
      <c r="K142" s="316"/>
      <c r="L142" s="316"/>
      <c r="M142" s="316"/>
      <c r="N142" s="426"/>
    </row>
    <row r="143" spans="2:34" x14ac:dyDescent="0.25">
      <c r="B143" s="295"/>
      <c r="C143" s="290"/>
      <c r="D143" s="293"/>
      <c r="E143" s="293"/>
      <c r="F143" s="440"/>
      <c r="G143" s="440"/>
      <c r="H143" s="293"/>
      <c r="I143" s="316"/>
      <c r="J143" s="316"/>
      <c r="K143" s="316"/>
      <c r="L143" s="316"/>
      <c r="M143" s="316"/>
      <c r="N143" s="426"/>
    </row>
    <row r="144" spans="2:34" x14ac:dyDescent="0.25">
      <c r="B144" s="295"/>
      <c r="C144" s="290"/>
      <c r="D144" s="293"/>
      <c r="E144" s="293"/>
      <c r="F144" s="440"/>
      <c r="G144" s="440"/>
      <c r="H144" s="293"/>
      <c r="I144" s="316"/>
      <c r="J144" s="316"/>
      <c r="K144" s="316"/>
      <c r="L144" s="316"/>
      <c r="M144" s="316"/>
      <c r="N144" s="426"/>
    </row>
    <row r="145" spans="2:14" x14ac:dyDescent="0.25">
      <c r="B145" s="295"/>
      <c r="C145" s="290"/>
      <c r="D145" s="293"/>
      <c r="E145" s="293"/>
      <c r="F145" s="440"/>
      <c r="G145" s="440"/>
      <c r="H145" s="293"/>
      <c r="I145" s="316"/>
      <c r="J145" s="316"/>
      <c r="K145" s="316"/>
      <c r="L145" s="316"/>
      <c r="M145" s="316"/>
      <c r="N145" s="426"/>
    </row>
    <row r="146" spans="2:14" x14ac:dyDescent="0.25">
      <c r="B146" s="295"/>
      <c r="C146" s="290"/>
      <c r="D146" s="293"/>
      <c r="E146" s="293"/>
      <c r="F146" s="440"/>
      <c r="G146" s="440"/>
      <c r="H146" s="293"/>
      <c r="I146" s="316"/>
      <c r="J146" s="316"/>
      <c r="K146" s="316"/>
      <c r="L146" s="316"/>
      <c r="M146" s="316"/>
      <c r="N146" s="426"/>
    </row>
    <row r="147" spans="2:14" x14ac:dyDescent="0.25">
      <c r="B147" s="295"/>
      <c r="C147" s="290"/>
      <c r="D147" s="293"/>
      <c r="E147" s="293"/>
      <c r="F147" s="440"/>
      <c r="G147" s="440"/>
      <c r="H147" s="293"/>
      <c r="I147" s="316"/>
      <c r="J147" s="316"/>
      <c r="K147" s="316"/>
      <c r="L147" s="316"/>
      <c r="M147" s="316"/>
      <c r="N147" s="426"/>
    </row>
    <row r="148" spans="2:14" x14ac:dyDescent="0.25">
      <c r="B148" s="295"/>
      <c r="C148" s="290"/>
      <c r="D148" s="293"/>
      <c r="E148" s="293"/>
      <c r="F148" s="440"/>
      <c r="G148" s="440"/>
      <c r="H148" s="293"/>
      <c r="I148" s="316"/>
      <c r="J148" s="316"/>
      <c r="K148" s="316"/>
      <c r="L148" s="316"/>
      <c r="M148" s="316"/>
      <c r="N148" s="426"/>
    </row>
    <row r="149" spans="2:14" x14ac:dyDescent="0.25">
      <c r="B149" s="295"/>
      <c r="C149" s="290"/>
      <c r="D149" s="293"/>
      <c r="E149" s="293"/>
      <c r="F149" s="440"/>
      <c r="G149" s="440"/>
      <c r="H149" s="293"/>
      <c r="I149" s="316"/>
      <c r="J149" s="316"/>
      <c r="K149" s="316"/>
      <c r="L149" s="316"/>
      <c r="M149" s="316"/>
      <c r="N149" s="426"/>
    </row>
    <row r="150" spans="2:14" x14ac:dyDescent="0.25">
      <c r="B150" s="295"/>
      <c r="C150" s="290"/>
      <c r="D150" s="293"/>
      <c r="E150" s="293"/>
      <c r="F150" s="440"/>
      <c r="G150" s="440"/>
      <c r="H150" s="293"/>
      <c r="I150" s="316"/>
      <c r="J150" s="316"/>
      <c r="K150" s="316"/>
      <c r="L150" s="316"/>
      <c r="M150" s="316"/>
      <c r="N150" s="426"/>
    </row>
    <row r="151" spans="2:14" x14ac:dyDescent="0.25">
      <c r="B151" s="295"/>
      <c r="C151" s="290"/>
      <c r="D151" s="293"/>
      <c r="E151" s="293"/>
      <c r="F151" s="440"/>
      <c r="G151" s="440"/>
      <c r="H151" s="293"/>
      <c r="I151" s="316"/>
      <c r="J151" s="316"/>
      <c r="K151" s="316"/>
      <c r="L151" s="316"/>
      <c r="M151" s="316"/>
      <c r="N151" s="426"/>
    </row>
    <row r="152" spans="2:14" x14ac:dyDescent="0.25">
      <c r="B152" s="295"/>
      <c r="C152" s="290"/>
      <c r="D152" s="293"/>
      <c r="E152" s="293"/>
      <c r="F152" s="440"/>
      <c r="G152" s="440"/>
      <c r="H152" s="293"/>
      <c r="I152" s="316"/>
      <c r="J152" s="316"/>
      <c r="K152" s="316"/>
      <c r="L152" s="316"/>
      <c r="M152" s="316"/>
      <c r="N152" s="426"/>
    </row>
    <row r="153" spans="2:14" x14ac:dyDescent="0.25">
      <c r="B153" s="295"/>
      <c r="C153" s="290"/>
      <c r="D153" s="293"/>
      <c r="E153" s="293"/>
      <c r="F153" s="440"/>
      <c r="G153" s="440"/>
      <c r="H153" s="293"/>
      <c r="I153" s="316"/>
      <c r="J153" s="316"/>
      <c r="K153" s="316"/>
      <c r="L153" s="316"/>
      <c r="M153" s="316"/>
      <c r="N153" s="426"/>
    </row>
    <row r="154" spans="2:14" x14ac:dyDescent="0.25">
      <c r="B154" s="295"/>
      <c r="C154" s="290"/>
      <c r="D154" s="293"/>
      <c r="E154" s="293"/>
      <c r="F154" s="440"/>
      <c r="G154" s="440"/>
      <c r="H154" s="293"/>
      <c r="I154" s="316"/>
      <c r="J154" s="316"/>
      <c r="K154" s="316"/>
      <c r="L154" s="316"/>
      <c r="M154" s="316"/>
      <c r="N154" s="426"/>
    </row>
    <row r="155" spans="2:14" x14ac:dyDescent="0.25">
      <c r="B155" s="295"/>
      <c r="C155" s="290"/>
      <c r="D155" s="293"/>
      <c r="E155" s="293"/>
      <c r="F155" s="440"/>
      <c r="G155" s="440"/>
      <c r="H155" s="293"/>
      <c r="I155" s="316"/>
      <c r="J155" s="316"/>
      <c r="K155" s="316"/>
      <c r="L155" s="316"/>
      <c r="M155" s="316"/>
      <c r="N155" s="426"/>
    </row>
    <row r="156" spans="2:14" x14ac:dyDescent="0.25">
      <c r="B156" s="295"/>
      <c r="C156" s="290"/>
      <c r="D156" s="293"/>
      <c r="E156" s="293"/>
      <c r="F156" s="440"/>
      <c r="G156" s="440"/>
      <c r="H156" s="293"/>
      <c r="I156" s="316"/>
      <c r="J156" s="316"/>
      <c r="K156" s="316"/>
      <c r="L156" s="316"/>
      <c r="M156" s="316"/>
      <c r="N156" s="426"/>
    </row>
    <row r="157" spans="2:14" x14ac:dyDescent="0.25">
      <c r="B157" s="295"/>
      <c r="C157" s="290"/>
      <c r="D157" s="293"/>
      <c r="E157" s="293"/>
      <c r="F157" s="440"/>
      <c r="G157" s="440"/>
      <c r="H157" s="293"/>
      <c r="I157" s="316"/>
      <c r="J157" s="316"/>
      <c r="K157" s="316"/>
      <c r="L157" s="316"/>
      <c r="M157" s="316"/>
      <c r="N157" s="426"/>
    </row>
    <row r="158" spans="2:14" x14ac:dyDescent="0.25">
      <c r="B158" s="295"/>
      <c r="C158" s="290"/>
      <c r="D158" s="293"/>
      <c r="E158" s="293"/>
      <c r="F158" s="440"/>
      <c r="G158" s="440"/>
      <c r="H158" s="293"/>
      <c r="I158" s="316"/>
      <c r="J158" s="316"/>
      <c r="K158" s="316"/>
      <c r="L158" s="316"/>
      <c r="M158" s="316"/>
      <c r="N158" s="426"/>
    </row>
    <row r="159" spans="2:14" x14ac:dyDescent="0.25">
      <c r="B159" s="295"/>
      <c r="C159" s="290"/>
      <c r="D159" s="293"/>
      <c r="E159" s="293"/>
      <c r="F159" s="440"/>
      <c r="G159" s="440"/>
      <c r="H159" s="293"/>
      <c r="I159" s="316"/>
      <c r="J159" s="316"/>
      <c r="K159" s="316"/>
      <c r="L159" s="316"/>
      <c r="M159" s="316"/>
      <c r="N159" s="426"/>
    </row>
    <row r="160" spans="2:14" x14ac:dyDescent="0.25">
      <c r="B160" s="295"/>
      <c r="C160" s="290"/>
      <c r="D160" s="293"/>
      <c r="E160" s="293"/>
      <c r="F160" s="440"/>
      <c r="G160" s="440"/>
      <c r="H160" s="293"/>
      <c r="I160" s="316"/>
      <c r="J160" s="316"/>
      <c r="K160" s="316"/>
      <c r="L160" s="316"/>
      <c r="M160" s="316"/>
      <c r="N160" s="426"/>
    </row>
    <row r="161" spans="1:15" x14ac:dyDescent="0.25">
      <c r="B161" s="295"/>
      <c r="C161" s="290"/>
      <c r="D161" s="293"/>
      <c r="E161" s="293"/>
      <c r="F161" s="440"/>
      <c r="G161" s="440"/>
      <c r="H161" s="293"/>
      <c r="I161" s="316"/>
      <c r="J161" s="316"/>
      <c r="K161" s="316"/>
      <c r="L161" s="316"/>
      <c r="M161" s="316"/>
      <c r="N161" s="426"/>
    </row>
    <row r="162" spans="1:15" x14ac:dyDescent="0.25">
      <c r="B162" s="295"/>
      <c r="C162" s="290"/>
      <c r="D162" s="293"/>
      <c r="E162" s="293"/>
      <c r="F162" s="440"/>
      <c r="G162" s="440"/>
      <c r="H162" s="293"/>
      <c r="I162" s="316"/>
      <c r="J162" s="316"/>
      <c r="K162" s="316"/>
      <c r="L162" s="316"/>
      <c r="M162" s="316"/>
      <c r="N162" s="426"/>
    </row>
    <row r="163" spans="1:15" x14ac:dyDescent="0.25">
      <c r="B163" s="295"/>
      <c r="C163" s="290"/>
      <c r="D163" s="293"/>
      <c r="E163" s="293"/>
      <c r="F163" s="440"/>
      <c r="G163" s="440"/>
      <c r="H163" s="293"/>
      <c r="I163" s="316"/>
      <c r="J163" s="316"/>
      <c r="K163" s="316"/>
      <c r="L163" s="316"/>
      <c r="M163" s="316"/>
      <c r="N163" s="426"/>
    </row>
    <row r="164" spans="1:15" x14ac:dyDescent="0.25">
      <c r="B164" s="295"/>
      <c r="C164" s="290"/>
      <c r="D164" s="293"/>
      <c r="E164" s="293"/>
      <c r="F164" s="440"/>
      <c r="G164" s="440"/>
      <c r="H164" s="293"/>
      <c r="I164" s="316"/>
      <c r="J164" s="316"/>
      <c r="K164" s="316"/>
      <c r="L164" s="316"/>
      <c r="M164" s="316"/>
      <c r="N164" s="426"/>
    </row>
    <row r="165" spans="1:15" x14ac:dyDescent="0.25">
      <c r="B165" s="295"/>
      <c r="C165" s="290"/>
      <c r="D165" s="293"/>
      <c r="E165" s="293"/>
      <c r="F165" s="440"/>
      <c r="G165" s="440"/>
      <c r="H165" s="293"/>
      <c r="I165" s="316"/>
      <c r="J165" s="316"/>
      <c r="K165" s="316"/>
      <c r="L165" s="316"/>
      <c r="M165" s="316"/>
      <c r="N165" s="426"/>
    </row>
    <row r="166" spans="1:15" x14ac:dyDescent="0.25">
      <c r="B166" s="295"/>
      <c r="C166" s="290"/>
      <c r="D166" s="293"/>
      <c r="E166" s="293"/>
      <c r="F166" s="440"/>
      <c r="G166" s="440"/>
      <c r="H166" s="293"/>
      <c r="I166" s="316"/>
      <c r="J166" s="316"/>
      <c r="K166" s="316"/>
      <c r="L166" s="316"/>
      <c r="M166" s="316"/>
      <c r="N166" s="426"/>
    </row>
    <row r="167" spans="1:15" x14ac:dyDescent="0.25">
      <c r="B167" s="295"/>
      <c r="C167" s="290"/>
      <c r="D167" s="293"/>
      <c r="E167" s="293"/>
      <c r="F167" s="440"/>
      <c r="G167" s="440"/>
      <c r="H167" s="293"/>
      <c r="I167" s="316"/>
      <c r="J167" s="316"/>
      <c r="K167" s="316"/>
      <c r="L167" s="316"/>
      <c r="M167" s="316"/>
      <c r="N167" s="426"/>
    </row>
    <row r="168" spans="1:15" x14ac:dyDescent="0.25">
      <c r="B168" s="295"/>
      <c r="C168" s="290"/>
      <c r="D168" s="293"/>
      <c r="E168" s="293"/>
      <c r="F168" s="440"/>
      <c r="G168" s="440"/>
      <c r="H168" s="293"/>
      <c r="I168" s="316"/>
      <c r="J168" s="316"/>
      <c r="K168" s="316"/>
      <c r="L168" s="316"/>
      <c r="M168" s="316"/>
      <c r="N168" s="426"/>
    </row>
    <row r="169" spans="1:15" x14ac:dyDescent="0.25">
      <c r="B169" s="295"/>
      <c r="C169" s="290"/>
      <c r="D169" s="293"/>
      <c r="E169" s="293"/>
      <c r="F169" s="440" t="s">
        <v>966</v>
      </c>
      <c r="G169" s="440" t="s">
        <v>966</v>
      </c>
      <c r="H169" s="293" t="s">
        <v>966</v>
      </c>
      <c r="I169" s="316" t="s">
        <v>966</v>
      </c>
      <c r="J169" s="316" t="s">
        <v>966</v>
      </c>
      <c r="K169" s="316" t="s">
        <v>966</v>
      </c>
      <c r="L169" s="316" t="s">
        <v>966</v>
      </c>
      <c r="M169" s="316" t="s">
        <v>966</v>
      </c>
      <c r="N169" s="426" t="s">
        <v>966</v>
      </c>
    </row>
    <row r="170" spans="1:15" x14ac:dyDescent="0.25">
      <c r="B170" s="295"/>
      <c r="C170" s="290"/>
      <c r="D170" s="293"/>
      <c r="E170" s="293"/>
      <c r="F170" s="440" t="s">
        <v>966</v>
      </c>
      <c r="G170" s="440" t="s">
        <v>966</v>
      </c>
      <c r="H170" s="293" t="s">
        <v>966</v>
      </c>
      <c r="I170" s="316" t="s">
        <v>966</v>
      </c>
      <c r="J170" s="316" t="s">
        <v>966</v>
      </c>
      <c r="K170" s="316" t="s">
        <v>966</v>
      </c>
      <c r="L170" s="316" t="s">
        <v>966</v>
      </c>
      <c r="M170" s="316" t="s">
        <v>966</v>
      </c>
      <c r="N170" s="426" t="s">
        <v>966</v>
      </c>
    </row>
    <row r="171" spans="1:15" x14ac:dyDescent="0.25">
      <c r="B171" s="295"/>
      <c r="C171" s="290"/>
      <c r="D171" s="293"/>
      <c r="E171" s="293"/>
      <c r="F171" s="440" t="s">
        <v>966</v>
      </c>
      <c r="G171" s="440" t="s">
        <v>966</v>
      </c>
      <c r="H171" s="293" t="s">
        <v>966</v>
      </c>
      <c r="I171" s="316" t="s">
        <v>966</v>
      </c>
      <c r="J171" s="316" t="s">
        <v>966</v>
      </c>
      <c r="K171" s="316" t="s">
        <v>966</v>
      </c>
      <c r="L171" s="316" t="s">
        <v>966</v>
      </c>
      <c r="M171" s="316" t="s">
        <v>966</v>
      </c>
      <c r="N171" s="426" t="s">
        <v>966</v>
      </c>
    </row>
    <row r="172" spans="1:15" ht="15.75" thickBot="1" x14ac:dyDescent="0.3">
      <c r="A172">
        <f>'P1; Organize the PT'!D15</f>
        <v>0</v>
      </c>
      <c r="B172" s="296" t="str">
        <f>CONCATENATE("PT Coordinator-",'P1; Organize the PT'!D15)</f>
        <v>PT Coordinator-</v>
      </c>
      <c r="C172" s="291" t="str">
        <f>IFERROR(INDEX(C1:C171,MATCH($A$172, $B$1:$B$121,0)),"")</f>
        <v/>
      </c>
      <c r="D172" s="297" t="str">
        <f>IFERROR(INDEX(D1:D171,MATCH($A$172, $B$1:$B$126,0)),"")</f>
        <v/>
      </c>
      <c r="E172" s="297" t="str">
        <f>IFERROR(INDEX(E1:E171,MATCH($A$172, $B$1:$B$171,0)),"")</f>
        <v/>
      </c>
      <c r="F172" s="443">
        <f>'P1; Organize the PT'!C15</f>
        <v>0</v>
      </c>
      <c r="G172" s="443">
        <f>'P1; Organize the PT'!E15</f>
        <v>0</v>
      </c>
      <c r="H172" s="297">
        <f>'P1; Organize the PT'!F15</f>
        <v>0</v>
      </c>
      <c r="I172" s="317" t="str">
        <f t="shared" ref="I172:N172" si="0">IFERROR(INDEX(I1:I171,MATCH($A$172, $B$1:$B$171,0)),"")</f>
        <v/>
      </c>
      <c r="J172" s="317" t="str">
        <f t="shared" si="0"/>
        <v/>
      </c>
      <c r="K172" s="317" t="str">
        <f t="shared" si="0"/>
        <v/>
      </c>
      <c r="L172" s="297" t="str">
        <f t="shared" si="0"/>
        <v/>
      </c>
      <c r="M172" s="297" t="str">
        <f t="shared" si="0"/>
        <v/>
      </c>
      <c r="N172" s="298" t="str">
        <f t="shared" si="0"/>
        <v/>
      </c>
      <c r="O172" t="str">
        <f t="shared" ref="O172" si="1">IFERROR(INDEX(O1:O171,MATCH($A$172, $B$1:$B$171,0)),"")</f>
        <v/>
      </c>
    </row>
    <row r="173" spans="1:15" ht="15.75" thickTop="1" x14ac:dyDescent="0.25"/>
  </sheetData>
  <sheetProtection algorithmName="SHA-512" hashValue="hpsnsiOUzygFUryFljVI2cVjYvT74JKTWuqcxHUQXjBTt2ekXqvpUSVjE4+ZZQtMeMbLonofSPcztgSfD1MujQ==" saltValue="sCAw1U56nHTtFs2MBalqlw==" spinCount="100000" sheet="1" objects="1" scenarios="1" formatCells="0" formatColumns="0" formatRows="0"/>
  <phoneticPr fontId="62" type="noConversion"/>
  <conditionalFormatting sqref="F37:L37 B107:K107">
    <cfRule type="cellIs" dxfId="8" priority="5" operator="greaterThan">
      <formula>$O$10</formula>
    </cfRule>
  </conditionalFormatting>
  <conditionalFormatting sqref="AD32:AH32 AD64:AH64">
    <cfRule type="cellIs" dxfId="7" priority="9" operator="greaterThan">
      <formula>$M$10</formula>
    </cfRule>
  </conditionalFormatting>
  <conditionalFormatting sqref="AD33:AH33">
    <cfRule type="cellIs" dxfId="6" priority="7" operator="greaterThan">
      <formula>$K$83</formula>
    </cfRule>
  </conditionalFormatting>
  <dataValidations count="3">
    <dataValidation type="list" allowBlank="1" showInputMessage="1" showErrorMessage="1" sqref="AS3:AS86" xr:uid="{48F431BC-E002-4680-ADBD-E1BFB49EB1E6}">
      <formula1>$V$3:$V$71</formula1>
    </dataValidation>
    <dataValidation type="list" allowBlank="1" showInputMessage="1" showErrorMessage="1" sqref="K107 K37" xr:uid="{EE825149-B65C-4FEB-9852-D4AB9C710269}">
      <formula1>$I$36:$I$58</formula1>
    </dataValidation>
    <dataValidation type="list" allowBlank="1" showInputMessage="1" showErrorMessage="1" sqref="K92:K93" xr:uid="{8A2B7C9B-177A-42D4-8A02-4DB7AE4BA92F}">
      <formula1>$G$55:$G$107</formula1>
    </dataValidation>
  </dataValidations>
  <hyperlinks>
    <hyperlink ref="BC3" r:id="rId1" xr:uid="{7DC29946-09F5-450E-AEC2-3C3A32B9803B}"/>
    <hyperlink ref="BC4:BC10" r:id="rId2" display="micheal.hicks@nist.gov" xr:uid="{8DC133E3-5EE2-4C74-9865-D7047DE0D157}"/>
    <hyperlink ref="BC12:BC24" r:id="rId3" display="micheal.hicks@nist.gov" xr:uid="{E3954F53-BF0C-4137-A123-0D8B3DB98907}"/>
    <hyperlink ref="BC40:BC44" r:id="rId4" display="micheal.hicks@nist.gov" xr:uid="{15A14795-1CBC-47EC-8671-A65B46C5BE89}"/>
    <hyperlink ref="BC44" r:id="rId5" xr:uid="{4AF415BA-331F-4700-9D48-0BF6F0D5645C}"/>
    <hyperlink ref="BC48" r:id="rId6" xr:uid="{2A859DC5-AD51-418E-B924-5289A7D47C5A}"/>
    <hyperlink ref="BC49" r:id="rId7" xr:uid="{3711B640-F153-49B6-BC3D-FFFFE8B28804}"/>
    <hyperlink ref="AE18" r:id="rId8" display="elizabeth.koncki@nist.gov" xr:uid="{BC61E030-AD33-4B32-9B7F-4DAAC3569F86}"/>
    <hyperlink ref="AE19" r:id="rId9" display="Megan.Money@FDACS.gov" xr:uid="{AA5CC18B-06C5-49AC-8733-6A7AD0E02896}"/>
    <hyperlink ref="AE29" r:id="rId10" display="elizabeth.koncki@nist.gov" xr:uid="{A3345725-EC4F-48E8-8374-4958CDE4B7C6}"/>
    <hyperlink ref="AE30" r:id="rId11" display="Megan.Money@FDACS.gov" xr:uid="{96F054D8-48DE-42D5-8AB5-B4F8426F585D}"/>
    <hyperlink ref="AE61" r:id="rId12" display="elizabeth.koncki@nist.gov" xr:uid="{1C8D035D-148E-4FA0-A59D-41F566B83DF7}"/>
    <hyperlink ref="AE62" r:id="rId13" display="Megan.Money@FDACS.gov" xr:uid="{ABE88850-0ABA-47D2-B136-22F124DAC3B0}"/>
    <hyperlink ref="G58" r:id="rId14" xr:uid="{573DBEDE-7243-4997-B424-A6DD732D74D6}"/>
    <hyperlink ref="AE7" r:id="rId15" display="anna.pierce@state.mn.us" xr:uid="{32938317-CD9D-4C1F-B752-965CA0D29162}"/>
    <hyperlink ref="AE4" r:id="rId16" display="Jonathan.Fox@agriculture.ny.gov" xr:uid="{3D9B9CB8-A5DE-4C75-BF61-5F81D37ED964}"/>
    <hyperlink ref="AE6" r:id="rId17" display="elizabeth.koncki@nist.gov" xr:uid="{2993169D-99B6-4086-BDE7-2690F5D30170}"/>
    <hyperlink ref="AE5" r:id="rId18" xr:uid="{73022610-6DE8-4519-B716-6FA31B5B432D}"/>
    <hyperlink ref="AE8" r:id="rId19" xr:uid="{54346D4F-8D95-491A-95C4-19EF1AD62EC4}"/>
    <hyperlink ref="AE9" r:id="rId20" xr:uid="{393FE4E0-3B8B-4506-8438-226C08F51096}"/>
    <hyperlink ref="G89" r:id="rId21" xr:uid="{0E47D059-DCE1-4322-B156-5D37BCE6C855}"/>
    <hyperlink ref="G81" r:id="rId22" xr:uid="{99484AF8-FF82-4DAC-9599-FFA49D3010F2}"/>
    <hyperlink ref="BC64" r:id="rId23" xr:uid="{32E16094-4BAE-4459-9A15-11EA9E884372}"/>
    <hyperlink ref="BC57" r:id="rId24" display="robert.rogers@ncagr.gov" xr:uid="{85C2A19A-86C5-41C8-AFD2-5434663FFF47}"/>
    <hyperlink ref="BC58" r:id="rId25" display="robert.rogers@ncagr.gov" xr:uid="{2D80D47D-C91C-46AE-B395-41383424B2C8}"/>
    <hyperlink ref="BC59" r:id="rId26" display="robert.rogers@ncagr.gov" xr:uid="{FF16FEF8-32BB-465D-B4B7-06AE72BD97E9}"/>
    <hyperlink ref="G88" r:id="rId27" xr:uid="{840194A7-C34E-4232-A1E6-A026D40A20B8}"/>
    <hyperlink ref="G41" r:id="rId28" xr:uid="{315087B3-A18F-4F1F-9A1A-8509E3BAA0E9}"/>
    <hyperlink ref="G72" r:id="rId29" xr:uid="{6FA4A00D-CEF3-4793-B1B2-A51EA0D752BA}"/>
  </hyperlinks>
  <pageMargins left="0.7" right="0.7" top="0.75" bottom="0.75" header="0.3" footer="0.3"/>
  <tableParts count="1">
    <tablePart r:id="rId30"/>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B6DF89"/>
    <pageSetUpPr fitToPage="1"/>
  </sheetPr>
  <dimension ref="A1:M165"/>
  <sheetViews>
    <sheetView view="pageBreakPreview" topLeftCell="A8" zoomScale="90" zoomScaleNormal="100" zoomScaleSheetLayoutView="90" workbookViewId="0">
      <selection activeCell="I17" sqref="I17"/>
    </sheetView>
  </sheetViews>
  <sheetFormatPr defaultRowHeight="15" x14ac:dyDescent="0.25"/>
  <cols>
    <col min="1" max="1" width="18.5703125" customWidth="1"/>
    <col min="2" max="2" width="18" customWidth="1"/>
    <col min="3" max="3" width="24.85546875" style="6" customWidth="1"/>
    <col min="4" max="4" width="26.42578125" customWidth="1"/>
    <col min="5" max="5" width="5" customWidth="1"/>
    <col min="6" max="6" width="10.42578125" customWidth="1"/>
    <col min="7" max="10" width="15.140625" customWidth="1"/>
    <col min="11" max="11" width="15.140625" style="6" customWidth="1"/>
    <col min="12" max="12" width="13.42578125" customWidth="1"/>
    <col min="13" max="13" width="10.85546875" customWidth="1"/>
  </cols>
  <sheetData>
    <row r="1" spans="1:13" ht="21" x14ac:dyDescent="0.35">
      <c r="A1" s="26" t="s">
        <v>93</v>
      </c>
    </row>
    <row r="2" spans="1:13" ht="21" x14ac:dyDescent="0.35">
      <c r="A2" s="26" t="s">
        <v>488</v>
      </c>
    </row>
    <row r="4" spans="1:13" x14ac:dyDescent="0.25">
      <c r="A4" s="9" t="s">
        <v>190</v>
      </c>
      <c r="B4" s="616" t="str">
        <f>IF('P1; Organize the PT'!C4="","",'P1; Organize the PT'!C4)</f>
        <v>----</v>
      </c>
      <c r="C4" s="617"/>
    </row>
    <row r="5" spans="1:13" x14ac:dyDescent="0.25">
      <c r="A5" s="9" t="s">
        <v>102</v>
      </c>
      <c r="B5" s="616" t="str">
        <f>IF('P1; Organize the PT'!C12="","",'P1; Organize the PT'!C12)</f>
        <v/>
      </c>
      <c r="C5" s="617"/>
    </row>
    <row r="6" spans="1:13" x14ac:dyDescent="0.25">
      <c r="A6" s="9" t="s">
        <v>191</v>
      </c>
      <c r="B6" s="616" t="str">
        <f>IF('P1; Organize the PT'!C15="","",'P1; Organize the PT'!C15)</f>
        <v/>
      </c>
      <c r="C6" s="617"/>
    </row>
    <row r="8" spans="1:13" s="10" customFormat="1" x14ac:dyDescent="0.25">
      <c r="B8" s="213"/>
      <c r="C8" s="445" t="s">
        <v>490</v>
      </c>
      <c r="D8" s="19">
        <f ca="1">TODAY()</f>
        <v>46211</v>
      </c>
      <c r="E8" s="135"/>
      <c r="K8" s="36"/>
    </row>
    <row r="9" spans="1:13" s="10" customFormat="1" x14ac:dyDescent="0.25">
      <c r="B9" s="211"/>
      <c r="C9" s="21" t="str">
        <f>'P1; Organize the PT'!C25</f>
        <v>Artifact is available until this date:</v>
      </c>
      <c r="D9" s="22" t="str">
        <f>IF('P1; Organize the PT'!D25="","",'P1; Organize the PT'!D25)</f>
        <v/>
      </c>
      <c r="E9" s="136"/>
      <c r="K9" s="36"/>
    </row>
    <row r="10" spans="1:13" x14ac:dyDescent="0.25">
      <c r="B10" s="9"/>
      <c r="C10" s="21" t="str">
        <f>'P1; Organize the PT'!C26</f>
        <v>Draft Analysis and Report Due to NIST:</v>
      </c>
      <c r="D10" s="22" t="str">
        <f>IF('P1; Organize the PT'!D26="","",'P1; Organize the PT'!D26)</f>
        <v/>
      </c>
      <c r="E10" s="136"/>
    </row>
    <row r="11" spans="1:13" x14ac:dyDescent="0.25">
      <c r="B11" s="9"/>
      <c r="C11" s="21" t="str">
        <f>'P1; Organize the PT'!C27</f>
        <v>NIST Distribution of Final Report:</v>
      </c>
      <c r="D11" s="22" t="str">
        <f>IF('P1; Organize the PT'!D27="","",'P1; Organize the PT'!D27)</f>
        <v/>
      </c>
      <c r="E11" s="136"/>
    </row>
    <row r="12" spans="1:13" x14ac:dyDescent="0.25">
      <c r="B12" s="9"/>
      <c r="C12" s="21" t="str">
        <f>'P1; Organize the PT'!C28</f>
        <v>Time in calendar days allotted per lab:</v>
      </c>
      <c r="D12" s="23" t="str">
        <f>IF('P1; Organize the PT'!D28="","",'P1; Organize the PT'!D28)</f>
        <v/>
      </c>
      <c r="E12" s="137"/>
    </row>
    <row r="13" spans="1:13" ht="15.75" thickBot="1" x14ac:dyDescent="0.3"/>
    <row r="14" spans="1:13" ht="15.75" thickBot="1" x14ac:dyDescent="0.3">
      <c r="A14" s="643" t="s">
        <v>491</v>
      </c>
      <c r="B14" s="644"/>
      <c r="C14" s="644"/>
      <c r="D14" s="644"/>
      <c r="E14" s="644"/>
      <c r="F14" s="644"/>
      <c r="G14" s="644"/>
      <c r="H14" s="644"/>
      <c r="I14" s="644"/>
      <c r="J14" s="644"/>
      <c r="K14" s="644"/>
      <c r="L14" s="645"/>
    </row>
    <row r="15" spans="1:13" ht="45" x14ac:dyDescent="0.25">
      <c r="A15" s="12" t="s">
        <v>492</v>
      </c>
      <c r="B15" s="12" t="s">
        <v>122</v>
      </c>
      <c r="C15" s="446" t="s">
        <v>105</v>
      </c>
      <c r="D15" s="214" t="s">
        <v>424</v>
      </c>
      <c r="E15" s="138" t="s">
        <v>120</v>
      </c>
      <c r="F15" s="13" t="s">
        <v>493</v>
      </c>
      <c r="G15" s="13" t="s">
        <v>494</v>
      </c>
      <c r="H15" s="13" t="s">
        <v>495</v>
      </c>
      <c r="I15" s="12" t="s">
        <v>496</v>
      </c>
      <c r="J15" s="13" t="s">
        <v>497</v>
      </c>
      <c r="K15" s="12" t="s">
        <v>498</v>
      </c>
      <c r="L15" s="12" t="s">
        <v>499</v>
      </c>
      <c r="M15" s="44" t="s">
        <v>500</v>
      </c>
    </row>
    <row r="16" spans="1:13" x14ac:dyDescent="0.25">
      <c r="A16" s="211" t="str">
        <f>IF('P1; Organize the PT'!B32="","",'P1; Organize the PT'!B32)</f>
        <v/>
      </c>
      <c r="B16" s="14" t="str">
        <f>IF('P1; Organize the PT'!C32="","",'P1; Organize the PT'!C32)</f>
        <v/>
      </c>
      <c r="C16" s="447" t="str">
        <f>IF('P1; Organize the PT'!D32="","",'P1; Organize the PT'!D32)</f>
        <v/>
      </c>
      <c r="D16" s="211" t="str">
        <f>IF('P1; Organize the PT'!F32="","",'P1; Organize the PT'!F32)</f>
        <v/>
      </c>
      <c r="E16" s="213">
        <v>1</v>
      </c>
      <c r="F16" s="62"/>
      <c r="G16" s="63"/>
      <c r="H16" s="63"/>
      <c r="I16" s="64"/>
      <c r="J16" s="63"/>
      <c r="K16" s="444"/>
      <c r="L16" s="8" t="str">
        <f>IF(J16="","",J16-G16)</f>
        <v/>
      </c>
      <c r="M16" s="65"/>
    </row>
    <row r="17" spans="1:13" x14ac:dyDescent="0.25">
      <c r="A17" s="211" t="str">
        <f>IF('P1; Organize the PT'!B33="","",'P1; Organize the PT'!B33)</f>
        <v/>
      </c>
      <c r="B17" s="14" t="str">
        <f>IF('P1; Organize the PT'!C33="","",'P1; Organize the PT'!C33)</f>
        <v/>
      </c>
      <c r="C17" s="447" t="str">
        <f>IF('P1; Organize the PT'!D33="","",'P1; Organize the PT'!D33)</f>
        <v/>
      </c>
      <c r="D17" s="211" t="str">
        <f>IF('P1; Organize the PT'!F33="","",'P1; Organize the PT'!F33)</f>
        <v/>
      </c>
      <c r="E17" s="213">
        <v>2</v>
      </c>
      <c r="F17" s="62"/>
      <c r="G17" s="63"/>
      <c r="H17" s="63"/>
      <c r="I17" s="64"/>
      <c r="J17" s="63"/>
      <c r="K17" s="444"/>
      <c r="L17" s="8" t="str">
        <f t="shared" ref="L17:L80" si="0">IF(J17="","",J17-G17)</f>
        <v/>
      </c>
      <c r="M17" s="65"/>
    </row>
    <row r="18" spans="1:13" x14ac:dyDescent="0.25">
      <c r="A18" s="211" t="str">
        <f>IF('P1; Organize the PT'!B34="","",'P1; Organize the PT'!B34)</f>
        <v/>
      </c>
      <c r="B18" s="14" t="str">
        <f>IF('P1; Organize the PT'!C34="","",'P1; Organize the PT'!C34)</f>
        <v/>
      </c>
      <c r="C18" s="447" t="str">
        <f>IF('P1; Organize the PT'!D34="","",'P1; Organize the PT'!D34)</f>
        <v/>
      </c>
      <c r="D18" s="211" t="str">
        <f>IF('P1; Organize the PT'!F34="","",'P1; Organize the PT'!F34)</f>
        <v/>
      </c>
      <c r="E18" s="213">
        <v>3</v>
      </c>
      <c r="F18" s="62"/>
      <c r="G18" s="63"/>
      <c r="H18" s="63"/>
      <c r="I18" s="64"/>
      <c r="J18" s="63"/>
      <c r="K18" s="444"/>
      <c r="L18" s="8" t="str">
        <f t="shared" si="0"/>
        <v/>
      </c>
      <c r="M18" s="65"/>
    </row>
    <row r="19" spans="1:13" x14ac:dyDescent="0.25">
      <c r="A19" s="211" t="str">
        <f>IF('P1; Organize the PT'!B35="","",'P1; Organize the PT'!B35)</f>
        <v/>
      </c>
      <c r="B19" s="14" t="str">
        <f>IF('P1; Organize the PT'!C35="","",'P1; Organize the PT'!C35)</f>
        <v/>
      </c>
      <c r="C19" s="447" t="str">
        <f>IF('P1; Organize the PT'!D35="","",'P1; Organize the PT'!D35)</f>
        <v/>
      </c>
      <c r="D19" s="211" t="str">
        <f>IF('P1; Organize the PT'!F35="","",'P1; Organize the PT'!F35)</f>
        <v/>
      </c>
      <c r="E19" s="213">
        <v>4</v>
      </c>
      <c r="F19" s="62"/>
      <c r="G19" s="63"/>
      <c r="H19" s="63"/>
      <c r="I19" s="64"/>
      <c r="J19" s="63"/>
      <c r="K19" s="444"/>
      <c r="L19" s="8" t="str">
        <f t="shared" si="0"/>
        <v/>
      </c>
      <c r="M19" s="65"/>
    </row>
    <row r="20" spans="1:13" x14ac:dyDescent="0.25">
      <c r="A20" s="211" t="str">
        <f>IF('P1; Organize the PT'!B36="","",'P1; Organize the PT'!B36)</f>
        <v/>
      </c>
      <c r="B20" s="14" t="str">
        <f>IF('P1; Organize the PT'!C36="","",'P1; Organize the PT'!C36)</f>
        <v/>
      </c>
      <c r="C20" s="447" t="str">
        <f>IF('P1; Organize the PT'!D36="","",'P1; Organize the PT'!D36)</f>
        <v/>
      </c>
      <c r="D20" s="211" t="str">
        <f>IF('P1; Organize the PT'!F36="","",'P1; Organize the PT'!F36)</f>
        <v/>
      </c>
      <c r="E20" s="213">
        <v>5</v>
      </c>
      <c r="F20" s="62"/>
      <c r="G20" s="63"/>
      <c r="H20" s="63"/>
      <c r="I20" s="64"/>
      <c r="J20" s="63"/>
      <c r="K20" s="444"/>
      <c r="L20" s="8" t="str">
        <f t="shared" si="0"/>
        <v/>
      </c>
      <c r="M20" s="65"/>
    </row>
    <row r="21" spans="1:13" x14ac:dyDescent="0.25">
      <c r="A21" s="211" t="str">
        <f>IF('P1; Organize the PT'!B37="","",'P1; Organize the PT'!B37)</f>
        <v/>
      </c>
      <c r="B21" s="14" t="str">
        <f>IF('P1; Organize the PT'!C37="","",'P1; Organize the PT'!C37)</f>
        <v/>
      </c>
      <c r="C21" s="447" t="str">
        <f>IF('P1; Organize the PT'!D37="","",'P1; Organize the PT'!D37)</f>
        <v/>
      </c>
      <c r="D21" s="211" t="str">
        <f>IF('P1; Organize the PT'!F37="","",'P1; Organize the PT'!F37)</f>
        <v/>
      </c>
      <c r="E21" s="213">
        <v>6</v>
      </c>
      <c r="F21" s="62"/>
      <c r="G21" s="63"/>
      <c r="H21" s="63"/>
      <c r="I21" s="64"/>
      <c r="J21" s="63"/>
      <c r="K21" s="444"/>
      <c r="L21" s="8" t="str">
        <f t="shared" si="0"/>
        <v/>
      </c>
      <c r="M21" s="65"/>
    </row>
    <row r="22" spans="1:13" x14ac:dyDescent="0.25">
      <c r="A22" s="211" t="str">
        <f>IF('P1; Organize the PT'!B38="","",'P1; Organize the PT'!B38)</f>
        <v/>
      </c>
      <c r="B22" s="14" t="str">
        <f>IF('P1; Organize the PT'!C38="","",'P1; Organize the PT'!C38)</f>
        <v/>
      </c>
      <c r="C22" s="447" t="str">
        <f>IF('P1; Organize the PT'!D38="","",'P1; Organize the PT'!D38)</f>
        <v/>
      </c>
      <c r="D22" s="211" t="str">
        <f>IF('P1; Organize the PT'!F38="","",'P1; Organize the PT'!F38)</f>
        <v/>
      </c>
      <c r="E22" s="213">
        <v>7</v>
      </c>
      <c r="F22" s="62"/>
      <c r="G22" s="63"/>
      <c r="H22" s="63"/>
      <c r="I22" s="64"/>
      <c r="J22" s="63"/>
      <c r="K22" s="444"/>
      <c r="L22" s="8" t="str">
        <f t="shared" si="0"/>
        <v/>
      </c>
      <c r="M22" s="65"/>
    </row>
    <row r="23" spans="1:13" x14ac:dyDescent="0.25">
      <c r="A23" s="211" t="str">
        <f>IF('P1; Organize the PT'!B39="","",'P1; Organize the PT'!B39)</f>
        <v/>
      </c>
      <c r="B23" s="14" t="str">
        <f>IF('P1; Organize the PT'!C39="","",'P1; Organize the PT'!C39)</f>
        <v/>
      </c>
      <c r="C23" s="447" t="str">
        <f>IF('P1; Organize the PT'!D39="","",'P1; Organize the PT'!D39)</f>
        <v/>
      </c>
      <c r="D23" s="211" t="str">
        <f>IF('P1; Organize the PT'!F39="","",'P1; Organize the PT'!F39)</f>
        <v/>
      </c>
      <c r="E23" s="213">
        <v>8</v>
      </c>
      <c r="F23" s="62"/>
      <c r="G23" s="63"/>
      <c r="H23" s="63"/>
      <c r="I23" s="64"/>
      <c r="J23" s="63"/>
      <c r="K23" s="444"/>
      <c r="L23" s="8" t="str">
        <f t="shared" si="0"/>
        <v/>
      </c>
      <c r="M23" s="65"/>
    </row>
    <row r="24" spans="1:13" x14ac:dyDescent="0.25">
      <c r="A24" s="211" t="str">
        <f>IF('P1; Organize the PT'!B40="","",'P1; Organize the PT'!B40)</f>
        <v/>
      </c>
      <c r="B24" s="14" t="str">
        <f>IF('P1; Organize the PT'!C40="","",'P1; Organize the PT'!C40)</f>
        <v/>
      </c>
      <c r="C24" s="447" t="str">
        <f>IF('P1; Organize the PT'!D40="","",'P1; Organize the PT'!D40)</f>
        <v/>
      </c>
      <c r="D24" s="211" t="str">
        <f>IF('P1; Organize the PT'!F40="","",'P1; Organize the PT'!F40)</f>
        <v/>
      </c>
      <c r="E24" s="213">
        <v>9</v>
      </c>
      <c r="F24" s="62"/>
      <c r="G24" s="63"/>
      <c r="H24" s="63"/>
      <c r="I24" s="64"/>
      <c r="J24" s="63"/>
      <c r="K24" s="444"/>
      <c r="L24" s="8" t="str">
        <f t="shared" si="0"/>
        <v/>
      </c>
      <c r="M24" s="65"/>
    </row>
    <row r="25" spans="1:13" x14ac:dyDescent="0.25">
      <c r="A25" s="211" t="str">
        <f>IF('P1; Organize the PT'!B41="","",'P1; Organize the PT'!B41)</f>
        <v/>
      </c>
      <c r="B25" s="14" t="str">
        <f>IF('P1; Organize the PT'!C41="","",'P1; Organize the PT'!C41)</f>
        <v/>
      </c>
      <c r="C25" s="447" t="str">
        <f>IF('P1; Organize the PT'!D41="","",'P1; Organize the PT'!D41)</f>
        <v/>
      </c>
      <c r="D25" s="211" t="str">
        <f>IF('P1; Organize the PT'!F41="","",'P1; Organize the PT'!F41)</f>
        <v/>
      </c>
      <c r="E25" s="213">
        <v>10</v>
      </c>
      <c r="F25" s="62"/>
      <c r="G25" s="63"/>
      <c r="H25" s="63"/>
      <c r="I25" s="64"/>
      <c r="J25" s="63"/>
      <c r="K25" s="444"/>
      <c r="L25" s="8" t="str">
        <f t="shared" si="0"/>
        <v/>
      </c>
      <c r="M25" s="65"/>
    </row>
    <row r="26" spans="1:13" x14ac:dyDescent="0.25">
      <c r="A26" s="211" t="str">
        <f>IF('P1; Organize the PT'!B42="","",'P1; Organize the PT'!B42)</f>
        <v/>
      </c>
      <c r="B26" s="14" t="str">
        <f>IF('P1; Organize the PT'!C42="","",'P1; Organize the PT'!C42)</f>
        <v/>
      </c>
      <c r="C26" s="447" t="str">
        <f>IF('P1; Organize the PT'!D42="","",'P1; Organize the PT'!D42)</f>
        <v/>
      </c>
      <c r="D26" s="211" t="str">
        <f>IF('P1; Organize the PT'!F42="","",'P1; Organize the PT'!F42)</f>
        <v/>
      </c>
      <c r="E26" s="213">
        <v>11</v>
      </c>
      <c r="F26" s="62"/>
      <c r="G26" s="63"/>
      <c r="H26" s="63"/>
      <c r="I26" s="64"/>
      <c r="J26" s="63"/>
      <c r="K26" s="444"/>
      <c r="L26" s="8" t="str">
        <f t="shared" si="0"/>
        <v/>
      </c>
      <c r="M26" s="65"/>
    </row>
    <row r="27" spans="1:13" x14ac:dyDescent="0.25">
      <c r="A27" s="211" t="str">
        <f>IF('P1; Organize the PT'!B43="","",'P1; Organize the PT'!B43)</f>
        <v/>
      </c>
      <c r="B27" s="14" t="str">
        <f>IF('P1; Organize the PT'!C43="","",'P1; Organize the PT'!C43)</f>
        <v/>
      </c>
      <c r="C27" s="447" t="str">
        <f>IF('P1; Organize the PT'!D43="","",'P1; Organize the PT'!D43)</f>
        <v/>
      </c>
      <c r="D27" s="211" t="str">
        <f>IF('P1; Organize the PT'!F43="","",'P1; Organize the PT'!F43)</f>
        <v/>
      </c>
      <c r="E27" s="213">
        <v>12</v>
      </c>
      <c r="F27" s="62"/>
      <c r="G27" s="63"/>
      <c r="H27" s="63"/>
      <c r="I27" s="64"/>
      <c r="J27" s="63"/>
      <c r="K27" s="444"/>
      <c r="L27" s="8" t="str">
        <f t="shared" si="0"/>
        <v/>
      </c>
      <c r="M27" s="65"/>
    </row>
    <row r="28" spans="1:13" x14ac:dyDescent="0.25">
      <c r="A28" s="211" t="str">
        <f>IF('P1; Organize the PT'!B44="","",'P1; Organize the PT'!B44)</f>
        <v/>
      </c>
      <c r="B28" s="14" t="str">
        <f>IF('P1; Organize the PT'!C44="","",'P1; Organize the PT'!C44)</f>
        <v/>
      </c>
      <c r="C28" s="447" t="str">
        <f>IF('P1; Organize the PT'!D44="","",'P1; Organize the PT'!D44)</f>
        <v/>
      </c>
      <c r="D28" s="211" t="str">
        <f>IF('P1; Organize the PT'!F44="","",'P1; Organize the PT'!F44)</f>
        <v/>
      </c>
      <c r="E28" s="213">
        <v>13</v>
      </c>
      <c r="F28" s="62"/>
      <c r="G28" s="63"/>
      <c r="H28" s="63"/>
      <c r="I28" s="64"/>
      <c r="J28" s="63"/>
      <c r="K28" s="444"/>
      <c r="L28" s="8" t="str">
        <f t="shared" si="0"/>
        <v/>
      </c>
      <c r="M28" s="65"/>
    </row>
    <row r="29" spans="1:13" x14ac:dyDescent="0.25">
      <c r="A29" s="211" t="str">
        <f>IF('P1; Organize the PT'!B45="","",'P1; Organize the PT'!B45)</f>
        <v/>
      </c>
      <c r="B29" s="14" t="str">
        <f>IF('P1; Organize the PT'!C45="","",'P1; Organize the PT'!C45)</f>
        <v/>
      </c>
      <c r="C29" s="447" t="str">
        <f>IF('P1; Organize the PT'!D45="","",'P1; Organize the PT'!D45)</f>
        <v/>
      </c>
      <c r="D29" s="211" t="str">
        <f>IF('P1; Organize the PT'!F45="","",'P1; Organize the PT'!F45)</f>
        <v/>
      </c>
      <c r="E29" s="213">
        <v>14</v>
      </c>
      <c r="F29" s="62"/>
      <c r="G29" s="63"/>
      <c r="H29" s="63"/>
      <c r="I29" s="64"/>
      <c r="J29" s="63"/>
      <c r="K29" s="444"/>
      <c r="L29" s="8" t="str">
        <f t="shared" si="0"/>
        <v/>
      </c>
      <c r="M29" s="65"/>
    </row>
    <row r="30" spans="1:13" x14ac:dyDescent="0.25">
      <c r="A30" s="211" t="str">
        <f>IF('P1; Organize the PT'!B46="","",'P1; Organize the PT'!B46)</f>
        <v/>
      </c>
      <c r="B30" s="14" t="str">
        <f>IF('P1; Organize the PT'!C46="","",'P1; Organize the PT'!C46)</f>
        <v/>
      </c>
      <c r="C30" s="447" t="str">
        <f>IF('P1; Organize the PT'!D46="","",'P1; Organize the PT'!D46)</f>
        <v/>
      </c>
      <c r="D30" s="211" t="str">
        <f>IF('P1; Organize the PT'!F46="","",'P1; Organize the PT'!F46)</f>
        <v/>
      </c>
      <c r="E30" s="213">
        <v>15</v>
      </c>
      <c r="F30" s="62"/>
      <c r="G30" s="63"/>
      <c r="H30" s="63"/>
      <c r="I30" s="64"/>
      <c r="J30" s="63"/>
      <c r="K30" s="444"/>
      <c r="L30" s="8" t="str">
        <f t="shared" si="0"/>
        <v/>
      </c>
      <c r="M30" s="65"/>
    </row>
    <row r="31" spans="1:13" x14ac:dyDescent="0.25">
      <c r="A31" s="211" t="str">
        <f>IF('P1; Organize the PT'!B47="","",'P1; Organize the PT'!B47)</f>
        <v/>
      </c>
      <c r="B31" s="14" t="str">
        <f>IF('P1; Organize the PT'!C47="","",'P1; Organize the PT'!C47)</f>
        <v/>
      </c>
      <c r="C31" s="447" t="str">
        <f>IF('P1; Organize the PT'!D47="","",'P1; Organize the PT'!D47)</f>
        <v/>
      </c>
      <c r="D31" s="211" t="str">
        <f>IF('P1; Organize the PT'!F47="","",'P1; Organize the PT'!F47)</f>
        <v/>
      </c>
      <c r="E31" s="213">
        <v>16</v>
      </c>
      <c r="F31" s="62"/>
      <c r="G31" s="63"/>
      <c r="H31" s="63"/>
      <c r="I31" s="64"/>
      <c r="J31" s="63"/>
      <c r="K31" s="444"/>
      <c r="L31" s="8" t="str">
        <f t="shared" si="0"/>
        <v/>
      </c>
      <c r="M31" s="65"/>
    </row>
    <row r="32" spans="1:13" x14ac:dyDescent="0.25">
      <c r="A32" s="211" t="str">
        <f>IF('P1; Organize the PT'!B48="","",'P1; Organize the PT'!B48)</f>
        <v/>
      </c>
      <c r="B32" s="14" t="str">
        <f>IF('P1; Organize the PT'!C48="","",'P1; Organize the PT'!C48)</f>
        <v/>
      </c>
      <c r="C32" s="447" t="str">
        <f>IF('P1; Organize the PT'!D48="","",'P1; Organize the PT'!D48)</f>
        <v/>
      </c>
      <c r="D32" s="211" t="str">
        <f>IF('P1; Organize the PT'!F48="","",'P1; Organize the PT'!F48)</f>
        <v/>
      </c>
      <c r="E32" s="213">
        <v>17</v>
      </c>
      <c r="F32" s="62"/>
      <c r="G32" s="63"/>
      <c r="H32" s="63"/>
      <c r="I32" s="64"/>
      <c r="J32" s="63"/>
      <c r="K32" s="444"/>
      <c r="L32" s="8" t="str">
        <f t="shared" si="0"/>
        <v/>
      </c>
      <c r="M32" s="65"/>
    </row>
    <row r="33" spans="1:13" x14ac:dyDescent="0.25">
      <c r="A33" s="211" t="str">
        <f>IF('P1; Organize the PT'!B49="","",'P1; Organize the PT'!B49)</f>
        <v/>
      </c>
      <c r="B33" s="14" t="str">
        <f>IF('P1; Organize the PT'!C49="","",'P1; Organize the PT'!C49)</f>
        <v/>
      </c>
      <c r="C33" s="447" t="str">
        <f>IF('P1; Organize the PT'!D49="","",'P1; Organize the PT'!D49)</f>
        <v/>
      </c>
      <c r="D33" s="211" t="str">
        <f>IF('P1; Organize the PT'!F49="","",'P1; Organize the PT'!F49)</f>
        <v/>
      </c>
      <c r="E33" s="213">
        <v>18</v>
      </c>
      <c r="F33" s="62"/>
      <c r="G33" s="63"/>
      <c r="H33" s="63"/>
      <c r="I33" s="64"/>
      <c r="J33" s="63"/>
      <c r="K33" s="444"/>
      <c r="L33" s="8" t="str">
        <f t="shared" si="0"/>
        <v/>
      </c>
      <c r="M33" s="65"/>
    </row>
    <row r="34" spans="1:13" x14ac:dyDescent="0.25">
      <c r="A34" s="211" t="str">
        <f>IF('P1; Organize the PT'!B50="","",'P1; Organize the PT'!B50)</f>
        <v/>
      </c>
      <c r="B34" s="14" t="str">
        <f>IF('P1; Organize the PT'!C50="","",'P1; Organize the PT'!C50)</f>
        <v/>
      </c>
      <c r="C34" s="447" t="str">
        <f>IF('P1; Organize the PT'!D50="","",'P1; Organize the PT'!D50)</f>
        <v/>
      </c>
      <c r="D34" s="211" t="str">
        <f>IF('P1; Organize the PT'!F50="","",'P1; Organize the PT'!F50)</f>
        <v/>
      </c>
      <c r="E34" s="213">
        <v>19</v>
      </c>
      <c r="F34" s="62"/>
      <c r="G34" s="63"/>
      <c r="H34" s="63"/>
      <c r="I34" s="64"/>
      <c r="J34" s="63"/>
      <c r="K34" s="444"/>
      <c r="L34" s="8" t="str">
        <f t="shared" si="0"/>
        <v/>
      </c>
      <c r="M34" s="65"/>
    </row>
    <row r="35" spans="1:13" x14ac:dyDescent="0.25">
      <c r="A35" s="211" t="str">
        <f>IF('P1; Organize the PT'!B51="","",'P1; Organize the PT'!B51)</f>
        <v/>
      </c>
      <c r="B35" s="14" t="str">
        <f>IF('P1; Organize the PT'!C51="","",'P1; Organize the PT'!C51)</f>
        <v/>
      </c>
      <c r="C35" s="447" t="str">
        <f>IF('P1; Organize the PT'!D51="","",'P1; Organize the PT'!D51)</f>
        <v/>
      </c>
      <c r="D35" s="211" t="str">
        <f>IF('P1; Organize the PT'!F51="","",'P1; Organize the PT'!F51)</f>
        <v/>
      </c>
      <c r="E35" s="213">
        <v>20</v>
      </c>
      <c r="F35" s="62"/>
      <c r="G35" s="63"/>
      <c r="H35" s="63"/>
      <c r="I35" s="64"/>
      <c r="J35" s="63"/>
      <c r="K35" s="444"/>
      <c r="L35" s="8" t="str">
        <f t="shared" si="0"/>
        <v/>
      </c>
      <c r="M35" s="65"/>
    </row>
    <row r="36" spans="1:13" x14ac:dyDescent="0.25">
      <c r="A36" s="211" t="str">
        <f>IF('P1; Organize the PT'!B52="","",'P1; Organize the PT'!B52)</f>
        <v/>
      </c>
      <c r="B36" s="14" t="str">
        <f>IF('P1; Organize the PT'!C52="","",'P1; Organize the PT'!C52)</f>
        <v/>
      </c>
      <c r="C36" s="447" t="str">
        <f>IF('P1; Organize the PT'!D52="","",'P1; Organize the PT'!D52)</f>
        <v/>
      </c>
      <c r="D36" s="211" t="str">
        <f>IF('P1; Organize the PT'!F52="","",'P1; Organize the PT'!F52)</f>
        <v/>
      </c>
      <c r="E36" s="213">
        <v>21</v>
      </c>
      <c r="F36" s="62"/>
      <c r="G36" s="63"/>
      <c r="H36" s="63"/>
      <c r="I36" s="64"/>
      <c r="J36" s="63"/>
      <c r="K36" s="444"/>
      <c r="L36" s="8" t="str">
        <f t="shared" si="0"/>
        <v/>
      </c>
      <c r="M36" s="65"/>
    </row>
    <row r="37" spans="1:13" x14ac:dyDescent="0.25">
      <c r="A37" s="211" t="str">
        <f>IF('P1; Organize the PT'!B53="","",'P1; Organize the PT'!B53)</f>
        <v/>
      </c>
      <c r="B37" s="14" t="str">
        <f>IF('P1; Organize the PT'!C53="","",'P1; Organize the PT'!C53)</f>
        <v/>
      </c>
      <c r="C37" s="447" t="str">
        <f>IF('P1; Organize the PT'!D53="","",'P1; Organize the PT'!D53)</f>
        <v/>
      </c>
      <c r="D37" s="211" t="str">
        <f>IF('P1; Organize the PT'!F53="","",'P1; Organize the PT'!F53)</f>
        <v/>
      </c>
      <c r="E37" s="213">
        <v>22</v>
      </c>
      <c r="F37" s="62"/>
      <c r="G37" s="63"/>
      <c r="H37" s="63"/>
      <c r="I37" s="64"/>
      <c r="J37" s="63"/>
      <c r="K37" s="444"/>
      <c r="L37" s="8" t="str">
        <f t="shared" si="0"/>
        <v/>
      </c>
      <c r="M37" s="65"/>
    </row>
    <row r="38" spans="1:13" x14ac:dyDescent="0.25">
      <c r="A38" s="211" t="str">
        <f>IF('P1; Organize the PT'!B54="","",'P1; Organize the PT'!B54)</f>
        <v/>
      </c>
      <c r="B38" s="14" t="str">
        <f>IF('P1; Organize the PT'!C54="","",'P1; Organize the PT'!C54)</f>
        <v/>
      </c>
      <c r="C38" s="447" t="str">
        <f>IF('P1; Organize the PT'!D54="","",'P1; Organize the PT'!D54)</f>
        <v/>
      </c>
      <c r="D38" s="211" t="str">
        <f>IF('P1; Organize the PT'!F54="","",'P1; Organize the PT'!F54)</f>
        <v/>
      </c>
      <c r="E38" s="213">
        <v>23</v>
      </c>
      <c r="F38" s="62"/>
      <c r="G38" s="63"/>
      <c r="H38" s="63"/>
      <c r="I38" s="64"/>
      <c r="J38" s="63"/>
      <c r="K38" s="444"/>
      <c r="L38" s="8" t="str">
        <f t="shared" si="0"/>
        <v/>
      </c>
      <c r="M38" s="65"/>
    </row>
    <row r="39" spans="1:13" x14ac:dyDescent="0.25">
      <c r="A39" s="211" t="str">
        <f>IF('P1; Organize the PT'!B55="","",'P1; Organize the PT'!B55)</f>
        <v/>
      </c>
      <c r="B39" s="14" t="str">
        <f>IF('P1; Organize the PT'!C55="","",'P1; Organize the PT'!C55)</f>
        <v/>
      </c>
      <c r="C39" s="447" t="str">
        <f>IF('P1; Organize the PT'!D55="","",'P1; Organize the PT'!D55)</f>
        <v/>
      </c>
      <c r="D39" s="211" t="str">
        <f>IF('P1; Organize the PT'!F55="","",'P1; Organize the PT'!F55)</f>
        <v/>
      </c>
      <c r="E39" s="213">
        <v>24</v>
      </c>
      <c r="F39" s="62"/>
      <c r="G39" s="63"/>
      <c r="H39" s="63"/>
      <c r="I39" s="64"/>
      <c r="J39" s="63"/>
      <c r="K39" s="444"/>
      <c r="L39" s="8" t="str">
        <f t="shared" si="0"/>
        <v/>
      </c>
      <c r="M39" s="65"/>
    </row>
    <row r="40" spans="1:13" x14ac:dyDescent="0.25">
      <c r="A40" s="211" t="str">
        <f>IF('P1; Organize the PT'!B56="","",'P1; Organize the PT'!B56)</f>
        <v/>
      </c>
      <c r="B40" s="14" t="str">
        <f>IF('P1; Organize the PT'!C56="","",'P1; Organize the PT'!C56)</f>
        <v/>
      </c>
      <c r="C40" s="447" t="str">
        <f>IF('P1; Organize the PT'!D56="","",'P1; Organize the PT'!D56)</f>
        <v/>
      </c>
      <c r="D40" s="211" t="str">
        <f>IF('P1; Organize the PT'!F56="","",'P1; Organize the PT'!F56)</f>
        <v/>
      </c>
      <c r="E40" s="213">
        <v>25</v>
      </c>
      <c r="F40" s="62"/>
      <c r="G40" s="63"/>
      <c r="H40" s="63"/>
      <c r="I40" s="64"/>
      <c r="J40" s="63"/>
      <c r="K40" s="444"/>
      <c r="L40" s="8" t="str">
        <f t="shared" si="0"/>
        <v/>
      </c>
      <c r="M40" s="65"/>
    </row>
    <row r="41" spans="1:13" x14ac:dyDescent="0.25">
      <c r="A41" s="211" t="str">
        <f>IF('P1; Organize the PT'!B57="","",'P1; Organize the PT'!B57)</f>
        <v/>
      </c>
      <c r="B41" s="14" t="str">
        <f>IF('P1; Organize the PT'!C57="","",'P1; Organize the PT'!C57)</f>
        <v/>
      </c>
      <c r="C41" s="447" t="str">
        <f>IF('P1; Organize the PT'!D57="","",'P1; Organize the PT'!D57)</f>
        <v/>
      </c>
      <c r="D41" s="211" t="str">
        <f>IF('P1; Organize the PT'!F57="","",'P1; Organize the PT'!F57)</f>
        <v/>
      </c>
      <c r="E41" s="213">
        <v>26</v>
      </c>
      <c r="F41" s="62"/>
      <c r="G41" s="63"/>
      <c r="H41" s="63"/>
      <c r="I41" s="64"/>
      <c r="J41" s="63"/>
      <c r="K41" s="444"/>
      <c r="L41" s="8" t="str">
        <f t="shared" si="0"/>
        <v/>
      </c>
      <c r="M41" s="65"/>
    </row>
    <row r="42" spans="1:13" x14ac:dyDescent="0.25">
      <c r="A42" s="211" t="str">
        <f>IF('P1; Organize the PT'!B58="","",'P1; Organize the PT'!B58)</f>
        <v/>
      </c>
      <c r="B42" s="14" t="str">
        <f>IF('P1; Organize the PT'!C58="","",'P1; Organize the PT'!C58)</f>
        <v/>
      </c>
      <c r="C42" s="447" t="str">
        <f>IF('P1; Organize the PT'!D58="","",'P1; Organize the PT'!D58)</f>
        <v/>
      </c>
      <c r="D42" s="211" t="str">
        <f>IF('P1; Organize the PT'!F58="","",'P1; Organize the PT'!F58)</f>
        <v/>
      </c>
      <c r="E42" s="213">
        <v>27</v>
      </c>
      <c r="F42" s="62"/>
      <c r="G42" s="63"/>
      <c r="H42" s="63"/>
      <c r="I42" s="64"/>
      <c r="J42" s="63"/>
      <c r="K42" s="444"/>
      <c r="L42" s="8" t="str">
        <f t="shared" si="0"/>
        <v/>
      </c>
      <c r="M42" s="65"/>
    </row>
    <row r="43" spans="1:13" x14ac:dyDescent="0.25">
      <c r="A43" s="211" t="str">
        <f>IF('P1; Organize the PT'!B59="","",'P1; Organize the PT'!B59)</f>
        <v/>
      </c>
      <c r="B43" s="14" t="str">
        <f>IF('P1; Organize the PT'!C59="","",'P1; Organize the PT'!C59)</f>
        <v/>
      </c>
      <c r="C43" s="447" t="str">
        <f>IF('P1; Organize the PT'!D59="","",'P1; Organize the PT'!D59)</f>
        <v/>
      </c>
      <c r="D43" s="211" t="str">
        <f>IF('P1; Organize the PT'!F59="","",'P1; Organize the PT'!F59)</f>
        <v/>
      </c>
      <c r="E43" s="213">
        <v>28</v>
      </c>
      <c r="F43" s="62"/>
      <c r="G43" s="63"/>
      <c r="H43" s="63"/>
      <c r="I43" s="64"/>
      <c r="J43" s="63"/>
      <c r="K43" s="444"/>
      <c r="L43" s="8" t="str">
        <f t="shared" si="0"/>
        <v/>
      </c>
      <c r="M43" s="65"/>
    </row>
    <row r="44" spans="1:13" x14ac:dyDescent="0.25">
      <c r="A44" s="211" t="str">
        <f>IF('P1; Organize the PT'!B60="","",'P1; Organize the PT'!B60)</f>
        <v/>
      </c>
      <c r="B44" s="14" t="str">
        <f>IF('P1; Organize the PT'!C60="","",'P1; Organize the PT'!C60)</f>
        <v/>
      </c>
      <c r="C44" s="447" t="str">
        <f>IF('P1; Organize the PT'!D60="","",'P1; Organize the PT'!D60)</f>
        <v/>
      </c>
      <c r="D44" s="211" t="str">
        <f>IF('P1; Organize the PT'!F60="","",'P1; Organize the PT'!F60)</f>
        <v/>
      </c>
      <c r="E44" s="213">
        <v>29</v>
      </c>
      <c r="F44" s="62"/>
      <c r="G44" s="63"/>
      <c r="H44" s="63"/>
      <c r="I44" s="64"/>
      <c r="J44" s="63"/>
      <c r="K44" s="444"/>
      <c r="L44" s="8" t="str">
        <f t="shared" si="0"/>
        <v/>
      </c>
      <c r="M44" s="65"/>
    </row>
    <row r="45" spans="1:13" x14ac:dyDescent="0.25">
      <c r="A45" s="211" t="str">
        <f>IF('P1; Organize the PT'!B61="","",'P1; Organize the PT'!B61)</f>
        <v/>
      </c>
      <c r="B45" s="14" t="str">
        <f>IF('P1; Organize the PT'!C61="","",'P1; Organize the PT'!C61)</f>
        <v/>
      </c>
      <c r="C45" s="447" t="str">
        <f>IF('P1; Organize the PT'!D61="","",'P1; Organize the PT'!D61)</f>
        <v/>
      </c>
      <c r="D45" s="211" t="str">
        <f>IF('P1; Organize the PT'!F61="","",'P1; Organize the PT'!F61)</f>
        <v/>
      </c>
      <c r="E45" s="213">
        <v>30</v>
      </c>
      <c r="F45" s="62"/>
      <c r="G45" s="63"/>
      <c r="H45" s="63"/>
      <c r="I45" s="64"/>
      <c r="J45" s="63"/>
      <c r="K45" s="444"/>
      <c r="L45" s="8" t="str">
        <f t="shared" si="0"/>
        <v/>
      </c>
      <c r="M45" s="65"/>
    </row>
    <row r="46" spans="1:13" x14ac:dyDescent="0.25">
      <c r="A46" s="211" t="str">
        <f>IF('P1; Organize the PT'!B62="","",'P1; Organize the PT'!B62)</f>
        <v/>
      </c>
      <c r="B46" s="14" t="str">
        <f>IF('P1; Organize the PT'!C62="","",'P1; Organize the PT'!C62)</f>
        <v/>
      </c>
      <c r="C46" s="447" t="str">
        <f>IF('P1; Organize the PT'!D62="","",'P1; Organize the PT'!D62)</f>
        <v/>
      </c>
      <c r="D46" s="211" t="str">
        <f>IF('P1; Organize the PT'!F62="","",'P1; Organize the PT'!F62)</f>
        <v/>
      </c>
      <c r="E46" s="213">
        <v>31</v>
      </c>
      <c r="F46" s="62"/>
      <c r="G46" s="63"/>
      <c r="H46" s="63"/>
      <c r="I46" s="64"/>
      <c r="J46" s="63"/>
      <c r="K46" s="444"/>
      <c r="L46" s="8" t="str">
        <f t="shared" si="0"/>
        <v/>
      </c>
      <c r="M46" s="65"/>
    </row>
    <row r="47" spans="1:13" x14ac:dyDescent="0.25">
      <c r="A47" s="211" t="str">
        <f>IF('P1; Organize the PT'!B63="","",'P1; Organize the PT'!B63)</f>
        <v/>
      </c>
      <c r="B47" s="14" t="str">
        <f>IF('P1; Organize the PT'!C63="","",'P1; Organize the PT'!C63)</f>
        <v/>
      </c>
      <c r="C47" s="447" t="str">
        <f>IF('P1; Organize the PT'!D63="","",'P1; Organize the PT'!D63)</f>
        <v/>
      </c>
      <c r="D47" s="211" t="str">
        <f>IF('P1; Organize the PT'!F63="","",'P1; Organize the PT'!F63)</f>
        <v/>
      </c>
      <c r="E47" s="213">
        <v>32</v>
      </c>
      <c r="F47" s="62"/>
      <c r="G47" s="63"/>
      <c r="H47" s="63"/>
      <c r="I47" s="64"/>
      <c r="J47" s="63"/>
      <c r="K47" s="444"/>
      <c r="L47" s="8" t="str">
        <f t="shared" si="0"/>
        <v/>
      </c>
      <c r="M47" s="65"/>
    </row>
    <row r="48" spans="1:13" x14ac:dyDescent="0.25">
      <c r="A48" s="211" t="str">
        <f>IF('P1; Organize the PT'!B64="","",'P1; Organize the PT'!B64)</f>
        <v/>
      </c>
      <c r="B48" s="14" t="str">
        <f>IF('P1; Organize the PT'!C64="","",'P1; Organize the PT'!C64)</f>
        <v/>
      </c>
      <c r="C48" s="447" t="str">
        <f>IF('P1; Organize the PT'!D64="","",'P1; Organize the PT'!D64)</f>
        <v/>
      </c>
      <c r="D48" s="211" t="str">
        <f>IF('P1; Organize the PT'!F64="","",'P1; Organize the PT'!F64)</f>
        <v/>
      </c>
      <c r="E48" s="213">
        <v>33</v>
      </c>
      <c r="F48" s="62"/>
      <c r="G48" s="63"/>
      <c r="H48" s="63"/>
      <c r="I48" s="64"/>
      <c r="J48" s="63"/>
      <c r="K48" s="444"/>
      <c r="L48" s="8" t="str">
        <f t="shared" si="0"/>
        <v/>
      </c>
      <c r="M48" s="65"/>
    </row>
    <row r="49" spans="1:13" x14ac:dyDescent="0.25">
      <c r="A49" s="211" t="str">
        <f>IF('P1; Organize the PT'!B65="","",'P1; Organize the PT'!B65)</f>
        <v/>
      </c>
      <c r="B49" s="14" t="str">
        <f>IF('P1; Organize the PT'!C65="","",'P1; Organize the PT'!C65)</f>
        <v/>
      </c>
      <c r="C49" s="447" t="str">
        <f>IF('P1; Organize the PT'!D65="","",'P1; Organize the PT'!D65)</f>
        <v/>
      </c>
      <c r="D49" s="211" t="str">
        <f>IF('P1; Organize the PT'!F65="","",'P1; Organize the PT'!F65)</f>
        <v/>
      </c>
      <c r="E49" s="213">
        <v>34</v>
      </c>
      <c r="F49" s="62"/>
      <c r="G49" s="63"/>
      <c r="H49" s="63"/>
      <c r="I49" s="64"/>
      <c r="J49" s="63"/>
      <c r="K49" s="444"/>
      <c r="L49" s="8" t="str">
        <f t="shared" si="0"/>
        <v/>
      </c>
      <c r="M49" s="65"/>
    </row>
    <row r="50" spans="1:13" x14ac:dyDescent="0.25">
      <c r="A50" s="211" t="str">
        <f>IF('P1; Organize the PT'!B66="","",'P1; Organize the PT'!B66)</f>
        <v/>
      </c>
      <c r="B50" s="14" t="str">
        <f>IF('P1; Organize the PT'!C66="","",'P1; Organize the PT'!C66)</f>
        <v/>
      </c>
      <c r="C50" s="447" t="str">
        <f>IF('P1; Organize the PT'!D66="","",'P1; Organize the PT'!D66)</f>
        <v/>
      </c>
      <c r="D50" s="211" t="str">
        <f>IF('P1; Organize the PT'!F66="","",'P1; Organize the PT'!F66)</f>
        <v/>
      </c>
      <c r="E50" s="213">
        <v>35</v>
      </c>
      <c r="F50" s="62"/>
      <c r="G50" s="63"/>
      <c r="H50" s="63"/>
      <c r="I50" s="64"/>
      <c r="J50" s="63"/>
      <c r="K50" s="444"/>
      <c r="L50" s="8" t="str">
        <f t="shared" si="0"/>
        <v/>
      </c>
      <c r="M50" s="65"/>
    </row>
    <row r="51" spans="1:13" x14ac:dyDescent="0.25">
      <c r="A51" s="211" t="str">
        <f>IF('P1; Organize the PT'!B67="","",'P1; Organize the PT'!B67)</f>
        <v/>
      </c>
      <c r="B51" s="14" t="str">
        <f>IF('P1; Organize the PT'!C67="","",'P1; Organize the PT'!C67)</f>
        <v/>
      </c>
      <c r="C51" s="447" t="str">
        <f>IF('P1; Organize the PT'!D67="","",'P1; Organize the PT'!D67)</f>
        <v/>
      </c>
      <c r="D51" s="211" t="str">
        <f>IF('P1; Organize the PT'!F67="","",'P1; Organize the PT'!F67)</f>
        <v/>
      </c>
      <c r="E51" s="213">
        <v>36</v>
      </c>
      <c r="F51" s="62"/>
      <c r="G51" s="63"/>
      <c r="H51" s="63"/>
      <c r="I51" s="64"/>
      <c r="J51" s="63"/>
      <c r="K51" s="444"/>
      <c r="L51" s="8" t="str">
        <f t="shared" si="0"/>
        <v/>
      </c>
      <c r="M51" s="65"/>
    </row>
    <row r="52" spans="1:13" x14ac:dyDescent="0.25">
      <c r="A52" s="211" t="str">
        <f>IF('P1; Organize the PT'!B68="","",'P1; Organize the PT'!B68)</f>
        <v/>
      </c>
      <c r="B52" s="14" t="str">
        <f>IF('P1; Organize the PT'!C68="","",'P1; Organize the PT'!C68)</f>
        <v/>
      </c>
      <c r="C52" s="447" t="str">
        <f>IF('P1; Organize the PT'!D68="","",'P1; Organize the PT'!D68)</f>
        <v/>
      </c>
      <c r="D52" s="211" t="str">
        <f>IF('P1; Organize the PT'!F68="","",'P1; Organize the PT'!F68)</f>
        <v/>
      </c>
      <c r="E52" s="213">
        <v>37</v>
      </c>
      <c r="F52" s="62"/>
      <c r="G52" s="63"/>
      <c r="H52" s="63"/>
      <c r="I52" s="64"/>
      <c r="J52" s="63"/>
      <c r="K52" s="444"/>
      <c r="L52" s="8" t="str">
        <f t="shared" si="0"/>
        <v/>
      </c>
      <c r="M52" s="65"/>
    </row>
    <row r="53" spans="1:13" x14ac:dyDescent="0.25">
      <c r="A53" s="211" t="str">
        <f>IF('P1; Organize the PT'!B69="","",'P1; Organize the PT'!B69)</f>
        <v/>
      </c>
      <c r="B53" s="14" t="str">
        <f>IF('P1; Organize the PT'!C69="","",'P1; Organize the PT'!C69)</f>
        <v/>
      </c>
      <c r="C53" s="447" t="str">
        <f>IF('P1; Organize the PT'!D69="","",'P1; Organize the PT'!D69)</f>
        <v/>
      </c>
      <c r="D53" s="211" t="str">
        <f>IF('P1; Organize the PT'!F69="","",'P1; Organize the PT'!F69)</f>
        <v/>
      </c>
      <c r="E53" s="213">
        <v>38</v>
      </c>
      <c r="F53" s="62"/>
      <c r="G53" s="63"/>
      <c r="H53" s="63"/>
      <c r="I53" s="64"/>
      <c r="J53" s="63"/>
      <c r="K53" s="444"/>
      <c r="L53" s="8" t="str">
        <f t="shared" si="0"/>
        <v/>
      </c>
      <c r="M53" s="65"/>
    </row>
    <row r="54" spans="1:13" x14ac:dyDescent="0.25">
      <c r="A54" s="211" t="str">
        <f>IF('P1; Organize the PT'!B70="","",'P1; Organize the PT'!B70)</f>
        <v/>
      </c>
      <c r="B54" s="14" t="str">
        <f>IF('P1; Organize the PT'!C70="","",'P1; Organize the PT'!C70)</f>
        <v/>
      </c>
      <c r="C54" s="447" t="str">
        <f>IF('P1; Organize the PT'!D70="","",'P1; Organize the PT'!D70)</f>
        <v/>
      </c>
      <c r="D54" s="211" t="str">
        <f>IF('P1; Organize the PT'!F70="","",'P1; Organize the PT'!F70)</f>
        <v/>
      </c>
      <c r="E54" s="213">
        <v>39</v>
      </c>
      <c r="F54" s="62"/>
      <c r="G54" s="63"/>
      <c r="H54" s="63"/>
      <c r="I54" s="64"/>
      <c r="J54" s="63"/>
      <c r="K54" s="444"/>
      <c r="L54" s="8" t="str">
        <f t="shared" si="0"/>
        <v/>
      </c>
      <c r="M54" s="65"/>
    </row>
    <row r="55" spans="1:13" x14ac:dyDescent="0.25">
      <c r="A55" s="211" t="str">
        <f>IF('P1; Organize the PT'!B71="","",'P1; Organize the PT'!B71)</f>
        <v/>
      </c>
      <c r="B55" s="14" t="str">
        <f>IF('P1; Organize the PT'!C71="","",'P1; Organize the PT'!C71)</f>
        <v/>
      </c>
      <c r="C55" s="447" t="str">
        <f>IF('P1; Organize the PT'!D71="","",'P1; Organize the PT'!D71)</f>
        <v/>
      </c>
      <c r="D55" s="211" t="str">
        <f>IF('P1; Organize the PT'!F71="","",'P1; Organize the PT'!F71)</f>
        <v/>
      </c>
      <c r="E55" s="213">
        <v>40</v>
      </c>
      <c r="F55" s="62"/>
      <c r="G55" s="63"/>
      <c r="H55" s="63"/>
      <c r="I55" s="64"/>
      <c r="J55" s="63"/>
      <c r="K55" s="444"/>
      <c r="L55" s="8" t="str">
        <f t="shared" si="0"/>
        <v/>
      </c>
      <c r="M55" s="65"/>
    </row>
    <row r="56" spans="1:13" x14ac:dyDescent="0.25">
      <c r="A56" s="211" t="str">
        <f>IF('P1; Organize the PT'!B72="","",'P1; Organize the PT'!B72)</f>
        <v/>
      </c>
      <c r="B56" s="14" t="str">
        <f>IF('P1; Organize the PT'!C72="","",'P1; Organize the PT'!C72)</f>
        <v/>
      </c>
      <c r="C56" s="447" t="str">
        <f>IF('P1; Organize the PT'!D72="","",'P1; Organize the PT'!D72)</f>
        <v/>
      </c>
      <c r="D56" s="211" t="str">
        <f>IF('P1; Organize the PT'!F72="","",'P1; Organize the PT'!F72)</f>
        <v/>
      </c>
      <c r="E56" s="213">
        <v>41</v>
      </c>
      <c r="F56" s="62"/>
      <c r="G56" s="63"/>
      <c r="H56" s="63"/>
      <c r="I56" s="64"/>
      <c r="J56" s="63"/>
      <c r="K56" s="444"/>
      <c r="L56" s="8" t="str">
        <f t="shared" si="0"/>
        <v/>
      </c>
      <c r="M56" s="65"/>
    </row>
    <row r="57" spans="1:13" x14ac:dyDescent="0.25">
      <c r="A57" s="211" t="str">
        <f>IF('P1; Organize the PT'!B73="","",'P1; Organize the PT'!B73)</f>
        <v/>
      </c>
      <c r="B57" s="14" t="str">
        <f>IF('P1; Organize the PT'!C73="","",'P1; Organize the PT'!C73)</f>
        <v/>
      </c>
      <c r="C57" s="447" t="str">
        <f>IF('P1; Organize the PT'!D73="","",'P1; Organize the PT'!D73)</f>
        <v/>
      </c>
      <c r="D57" s="211" t="str">
        <f>IF('P1; Organize the PT'!F73="","",'P1; Organize the PT'!F73)</f>
        <v/>
      </c>
      <c r="E57" s="213">
        <v>42</v>
      </c>
      <c r="F57" s="62"/>
      <c r="G57" s="63"/>
      <c r="H57" s="63"/>
      <c r="I57" s="64"/>
      <c r="J57" s="63"/>
      <c r="K57" s="444"/>
      <c r="L57" s="8" t="str">
        <f t="shared" si="0"/>
        <v/>
      </c>
      <c r="M57" s="65"/>
    </row>
    <row r="58" spans="1:13" x14ac:dyDescent="0.25">
      <c r="A58" s="211" t="str">
        <f>IF('P1; Organize the PT'!B74="","",'P1; Organize the PT'!B74)</f>
        <v/>
      </c>
      <c r="B58" s="14" t="str">
        <f>IF('P1; Organize the PT'!C74="","",'P1; Organize the PT'!C74)</f>
        <v/>
      </c>
      <c r="C58" s="447" t="str">
        <f>IF('P1; Organize the PT'!D74="","",'P1; Organize the PT'!D74)</f>
        <v/>
      </c>
      <c r="D58" s="211" t="str">
        <f>IF('P1; Organize the PT'!F74="","",'P1; Organize the PT'!F74)</f>
        <v/>
      </c>
      <c r="E58" s="213">
        <v>43</v>
      </c>
      <c r="F58" s="62"/>
      <c r="G58" s="63"/>
      <c r="H58" s="63"/>
      <c r="I58" s="64"/>
      <c r="J58" s="63"/>
      <c r="K58" s="444"/>
      <c r="L58" s="8" t="str">
        <f t="shared" si="0"/>
        <v/>
      </c>
      <c r="M58" s="65"/>
    </row>
    <row r="59" spans="1:13" x14ac:dyDescent="0.25">
      <c r="A59" s="211" t="str">
        <f>IF('P1; Organize the PT'!B75="","",'P1; Organize the PT'!B75)</f>
        <v/>
      </c>
      <c r="B59" s="14" t="str">
        <f>IF('P1; Organize the PT'!C75="","",'P1; Organize the PT'!C75)</f>
        <v/>
      </c>
      <c r="C59" s="447" t="str">
        <f>IF('P1; Organize the PT'!D75="","",'P1; Organize the PT'!D75)</f>
        <v/>
      </c>
      <c r="D59" s="211" t="str">
        <f>IF('P1; Organize the PT'!F75="","",'P1; Organize the PT'!F75)</f>
        <v/>
      </c>
      <c r="E59" s="213">
        <v>44</v>
      </c>
      <c r="F59" s="62"/>
      <c r="G59" s="63"/>
      <c r="H59" s="63"/>
      <c r="I59" s="64"/>
      <c r="J59" s="63"/>
      <c r="K59" s="444"/>
      <c r="L59" s="8" t="str">
        <f t="shared" si="0"/>
        <v/>
      </c>
      <c r="M59" s="65"/>
    </row>
    <row r="60" spans="1:13" x14ac:dyDescent="0.25">
      <c r="A60" s="211" t="str">
        <f>IF('P1; Organize the PT'!B76="","",'P1; Organize the PT'!B76)</f>
        <v/>
      </c>
      <c r="B60" s="14" t="str">
        <f>IF('P1; Organize the PT'!C76="","",'P1; Organize the PT'!C76)</f>
        <v/>
      </c>
      <c r="C60" s="447" t="str">
        <f>IF('P1; Organize the PT'!D76="","",'P1; Organize the PT'!D76)</f>
        <v/>
      </c>
      <c r="D60" s="211" t="str">
        <f>IF('P1; Organize the PT'!F76="","",'P1; Organize the PT'!F76)</f>
        <v/>
      </c>
      <c r="E60" s="213">
        <v>45</v>
      </c>
      <c r="F60" s="62"/>
      <c r="G60" s="63"/>
      <c r="H60" s="63"/>
      <c r="I60" s="64"/>
      <c r="J60" s="63"/>
      <c r="K60" s="444"/>
      <c r="L60" s="8" t="str">
        <f t="shared" si="0"/>
        <v/>
      </c>
      <c r="M60" s="65"/>
    </row>
    <row r="61" spans="1:13" x14ac:dyDescent="0.25">
      <c r="A61" s="211" t="str">
        <f>IF('P1; Organize the PT'!B77="","",'P1; Organize the PT'!B77)</f>
        <v/>
      </c>
      <c r="B61" s="14" t="str">
        <f>IF('P1; Organize the PT'!C77="","",'P1; Organize the PT'!C77)</f>
        <v/>
      </c>
      <c r="C61" s="447" t="str">
        <f>IF('P1; Organize the PT'!D77="","",'P1; Organize the PT'!D77)</f>
        <v/>
      </c>
      <c r="D61" s="211" t="str">
        <f>IF('P1; Organize the PT'!F77="","",'P1; Organize the PT'!F77)</f>
        <v/>
      </c>
      <c r="E61" s="213">
        <v>46</v>
      </c>
      <c r="F61" s="62"/>
      <c r="G61" s="63"/>
      <c r="H61" s="63"/>
      <c r="I61" s="64"/>
      <c r="J61" s="63"/>
      <c r="K61" s="444"/>
      <c r="L61" s="8" t="str">
        <f t="shared" si="0"/>
        <v/>
      </c>
      <c r="M61" s="65"/>
    </row>
    <row r="62" spans="1:13" x14ac:dyDescent="0.25">
      <c r="A62" s="211" t="str">
        <f>IF('P1; Organize the PT'!B78="","",'P1; Organize the PT'!B78)</f>
        <v/>
      </c>
      <c r="B62" s="14" t="str">
        <f>IF('P1; Organize the PT'!C78="","",'P1; Organize the PT'!C78)</f>
        <v/>
      </c>
      <c r="C62" s="447" t="str">
        <f>IF('P1; Organize the PT'!D78="","",'P1; Organize the PT'!D78)</f>
        <v/>
      </c>
      <c r="D62" s="211" t="str">
        <f>IF('P1; Organize the PT'!F78="","",'P1; Organize the PT'!F78)</f>
        <v/>
      </c>
      <c r="E62" s="213">
        <v>47</v>
      </c>
      <c r="F62" s="62"/>
      <c r="G62" s="63"/>
      <c r="H62" s="63"/>
      <c r="I62" s="64"/>
      <c r="J62" s="63"/>
      <c r="K62" s="444"/>
      <c r="L62" s="8" t="str">
        <f t="shared" si="0"/>
        <v/>
      </c>
      <c r="M62" s="65"/>
    </row>
    <row r="63" spans="1:13" x14ac:dyDescent="0.25">
      <c r="A63" s="211" t="str">
        <f>IF('P1; Organize the PT'!B79="","",'P1; Organize the PT'!B79)</f>
        <v/>
      </c>
      <c r="B63" s="14" t="str">
        <f>IF('P1; Organize the PT'!C79="","",'P1; Organize the PT'!C79)</f>
        <v/>
      </c>
      <c r="C63" s="447" t="str">
        <f>IF('P1; Organize the PT'!D79="","",'P1; Organize the PT'!D79)</f>
        <v/>
      </c>
      <c r="D63" s="211" t="str">
        <f>IF('P1; Organize the PT'!F79="","",'P1; Organize the PT'!F79)</f>
        <v/>
      </c>
      <c r="E63" s="213">
        <v>48</v>
      </c>
      <c r="F63" s="62"/>
      <c r="G63" s="63"/>
      <c r="H63" s="63"/>
      <c r="I63" s="64"/>
      <c r="J63" s="63"/>
      <c r="K63" s="444"/>
      <c r="L63" s="8" t="str">
        <f t="shared" si="0"/>
        <v/>
      </c>
      <c r="M63" s="65"/>
    </row>
    <row r="64" spans="1:13" x14ac:dyDescent="0.25">
      <c r="A64" s="211" t="str">
        <f>IF('P1; Organize the PT'!B80="","",'P1; Organize the PT'!B80)</f>
        <v/>
      </c>
      <c r="B64" s="14" t="str">
        <f>IF('P1; Organize the PT'!C80="","",'P1; Organize the PT'!C80)</f>
        <v/>
      </c>
      <c r="C64" s="447" t="str">
        <f>IF('P1; Organize the PT'!D80="","",'P1; Organize the PT'!D80)</f>
        <v/>
      </c>
      <c r="D64" s="211" t="str">
        <f>IF('P1; Organize the PT'!F80="","",'P1; Organize the PT'!F80)</f>
        <v/>
      </c>
      <c r="E64" s="213">
        <v>49</v>
      </c>
      <c r="F64" s="62"/>
      <c r="G64" s="63"/>
      <c r="H64" s="63"/>
      <c r="I64" s="64"/>
      <c r="J64" s="63"/>
      <c r="K64" s="444"/>
      <c r="L64" s="8" t="str">
        <f t="shared" si="0"/>
        <v/>
      </c>
      <c r="M64" s="65"/>
    </row>
    <row r="65" spans="1:13" x14ac:dyDescent="0.25">
      <c r="A65" s="211" t="str">
        <f>IF('P1; Organize the PT'!B81="","",'P1; Organize the PT'!B81)</f>
        <v/>
      </c>
      <c r="B65" s="14" t="str">
        <f>IF('P1; Organize the PT'!C81="","",'P1; Organize the PT'!C81)</f>
        <v/>
      </c>
      <c r="C65" s="447" t="str">
        <f>IF('P1; Organize the PT'!D81="","",'P1; Organize the PT'!D81)</f>
        <v/>
      </c>
      <c r="D65" s="211" t="str">
        <f>IF('P1; Organize the PT'!F81="","",'P1; Organize the PT'!F81)</f>
        <v/>
      </c>
      <c r="E65" s="213">
        <v>50</v>
      </c>
      <c r="F65" s="62"/>
      <c r="G65" s="63"/>
      <c r="H65" s="63"/>
      <c r="I65" s="64"/>
      <c r="J65" s="63"/>
      <c r="K65" s="444"/>
      <c r="L65" s="8" t="str">
        <f t="shared" si="0"/>
        <v/>
      </c>
      <c r="M65" s="65"/>
    </row>
    <row r="66" spans="1:13" x14ac:dyDescent="0.25">
      <c r="A66" s="211" t="str">
        <f>IF('P1; Organize the PT'!B82="","",'P1; Organize the PT'!B82)</f>
        <v/>
      </c>
      <c r="B66" s="14" t="str">
        <f>IF('P1; Organize the PT'!C82="","",'P1; Organize the PT'!C82)</f>
        <v/>
      </c>
      <c r="C66" s="447" t="str">
        <f>IF('P1; Organize the PT'!D82="","",'P1; Organize the PT'!D82)</f>
        <v/>
      </c>
      <c r="D66" s="211" t="str">
        <f>IF('P1; Organize the PT'!F82="","",'P1; Organize the PT'!F82)</f>
        <v/>
      </c>
      <c r="E66" s="213">
        <v>51</v>
      </c>
      <c r="F66" s="62"/>
      <c r="G66" s="63"/>
      <c r="H66" s="63"/>
      <c r="I66" s="64"/>
      <c r="J66" s="63"/>
      <c r="K66" s="444"/>
      <c r="L66" s="8" t="str">
        <f t="shared" si="0"/>
        <v/>
      </c>
      <c r="M66" s="65"/>
    </row>
    <row r="67" spans="1:13" x14ac:dyDescent="0.25">
      <c r="A67" s="211" t="str">
        <f>IF('P1; Organize the PT'!B83="","",'P1; Organize the PT'!B83)</f>
        <v/>
      </c>
      <c r="B67" s="14" t="str">
        <f>IF('P1; Organize the PT'!C83="","",'P1; Organize the PT'!C83)</f>
        <v/>
      </c>
      <c r="C67" s="447" t="str">
        <f>IF('P1; Organize the PT'!D83="","",'P1; Organize the PT'!D83)</f>
        <v/>
      </c>
      <c r="D67" s="211" t="str">
        <f>IF('P1; Organize the PT'!F83="","",'P1; Organize the PT'!F83)</f>
        <v/>
      </c>
      <c r="E67" s="213">
        <v>52</v>
      </c>
      <c r="F67" s="62"/>
      <c r="G67" s="63"/>
      <c r="H67" s="63"/>
      <c r="I67" s="64"/>
      <c r="J67" s="63"/>
      <c r="K67" s="444"/>
      <c r="L67" s="8" t="str">
        <f t="shared" si="0"/>
        <v/>
      </c>
      <c r="M67" s="65"/>
    </row>
    <row r="68" spans="1:13" x14ac:dyDescent="0.25">
      <c r="A68" s="211" t="str">
        <f>IF('P1; Organize the PT'!B84="","",'P1; Organize the PT'!B84)</f>
        <v/>
      </c>
      <c r="B68" s="14" t="str">
        <f>IF('P1; Organize the PT'!C84="","",'P1; Organize the PT'!C84)</f>
        <v/>
      </c>
      <c r="C68" s="447" t="str">
        <f>IF('P1; Organize the PT'!D84="","",'P1; Organize the PT'!D84)</f>
        <v/>
      </c>
      <c r="D68" s="211" t="str">
        <f>IF('P1; Organize the PT'!F84="","",'P1; Organize the PT'!F84)</f>
        <v/>
      </c>
      <c r="E68" s="213">
        <v>53</v>
      </c>
      <c r="F68" s="62"/>
      <c r="G68" s="63"/>
      <c r="H68" s="63"/>
      <c r="I68" s="64"/>
      <c r="J68" s="63"/>
      <c r="K68" s="444"/>
      <c r="L68" s="8" t="str">
        <f t="shared" si="0"/>
        <v/>
      </c>
      <c r="M68" s="65"/>
    </row>
    <row r="69" spans="1:13" x14ac:dyDescent="0.25">
      <c r="A69" s="211" t="str">
        <f>IF('P1; Organize the PT'!B85="","",'P1; Organize the PT'!B85)</f>
        <v/>
      </c>
      <c r="B69" s="14" t="str">
        <f>IF('P1; Organize the PT'!C85="","",'P1; Organize the PT'!C85)</f>
        <v/>
      </c>
      <c r="C69" s="447" t="str">
        <f>IF('P1; Organize the PT'!D85="","",'P1; Organize the PT'!D85)</f>
        <v/>
      </c>
      <c r="D69" s="211" t="str">
        <f>IF('P1; Organize the PT'!F85="","",'P1; Organize the PT'!F85)</f>
        <v/>
      </c>
      <c r="E69" s="213">
        <v>54</v>
      </c>
      <c r="F69" s="62"/>
      <c r="G69" s="63"/>
      <c r="H69" s="63"/>
      <c r="I69" s="64"/>
      <c r="J69" s="63"/>
      <c r="K69" s="444"/>
      <c r="L69" s="8" t="str">
        <f t="shared" si="0"/>
        <v/>
      </c>
      <c r="M69" s="65"/>
    </row>
    <row r="70" spans="1:13" x14ac:dyDescent="0.25">
      <c r="A70" s="211" t="str">
        <f>IF('P1; Organize the PT'!B86="","",'P1; Organize the PT'!B86)</f>
        <v/>
      </c>
      <c r="B70" s="14" t="str">
        <f>IF('P1; Organize the PT'!C86="","",'P1; Organize the PT'!C86)</f>
        <v/>
      </c>
      <c r="C70" s="447" t="str">
        <f>IF('P1; Organize the PT'!D86="","",'P1; Organize the PT'!D86)</f>
        <v/>
      </c>
      <c r="D70" s="211" t="str">
        <f>IF('P1; Organize the PT'!F86="","",'P1; Organize the PT'!F86)</f>
        <v/>
      </c>
      <c r="E70" s="213">
        <v>55</v>
      </c>
      <c r="F70" s="62"/>
      <c r="G70" s="63"/>
      <c r="H70" s="63"/>
      <c r="I70" s="64"/>
      <c r="J70" s="63"/>
      <c r="K70" s="444"/>
      <c r="L70" s="8" t="str">
        <f t="shared" si="0"/>
        <v/>
      </c>
      <c r="M70" s="65"/>
    </row>
    <row r="71" spans="1:13" x14ac:dyDescent="0.25">
      <c r="A71" s="211" t="str">
        <f>IF('P1; Organize the PT'!B87="","",'P1; Organize the PT'!B87)</f>
        <v/>
      </c>
      <c r="B71" s="14" t="str">
        <f>IF('P1; Organize the PT'!C87="","",'P1; Organize the PT'!C87)</f>
        <v/>
      </c>
      <c r="C71" s="447" t="str">
        <f>IF('P1; Organize the PT'!D87="","",'P1; Organize the PT'!D87)</f>
        <v/>
      </c>
      <c r="D71" s="211" t="str">
        <f>IF('P1; Organize the PT'!F87="","",'P1; Organize the PT'!F87)</f>
        <v/>
      </c>
      <c r="E71" s="213">
        <v>56</v>
      </c>
      <c r="F71" s="62"/>
      <c r="G71" s="63"/>
      <c r="H71" s="63"/>
      <c r="I71" s="64"/>
      <c r="J71" s="63"/>
      <c r="K71" s="444"/>
      <c r="L71" s="8" t="str">
        <f t="shared" si="0"/>
        <v/>
      </c>
      <c r="M71" s="65"/>
    </row>
    <row r="72" spans="1:13" x14ac:dyDescent="0.25">
      <c r="A72" s="211" t="str">
        <f>IF('P1; Organize the PT'!B88="","",'P1; Organize the PT'!B88)</f>
        <v/>
      </c>
      <c r="B72" s="14" t="str">
        <f>IF('P1; Organize the PT'!C88="","",'P1; Organize the PT'!C88)</f>
        <v/>
      </c>
      <c r="C72" s="447" t="str">
        <f>IF('P1; Organize the PT'!D88="","",'P1; Organize the PT'!D88)</f>
        <v/>
      </c>
      <c r="D72" s="211" t="str">
        <f>IF('P1; Organize the PT'!F88="","",'P1; Organize the PT'!F88)</f>
        <v/>
      </c>
      <c r="E72" s="213">
        <v>57</v>
      </c>
      <c r="F72" s="62"/>
      <c r="G72" s="63"/>
      <c r="H72" s="63"/>
      <c r="I72" s="64"/>
      <c r="J72" s="63"/>
      <c r="K72" s="444"/>
      <c r="L72" s="8" t="str">
        <f t="shared" si="0"/>
        <v/>
      </c>
      <c r="M72" s="65"/>
    </row>
    <row r="73" spans="1:13" x14ac:dyDescent="0.25">
      <c r="A73" s="211" t="str">
        <f>IF('P1; Organize the PT'!B89="","",'P1; Organize the PT'!B89)</f>
        <v/>
      </c>
      <c r="B73" s="14" t="str">
        <f>IF('P1; Organize the PT'!C89="","",'P1; Organize the PT'!C89)</f>
        <v/>
      </c>
      <c r="C73" s="447" t="str">
        <f>IF('P1; Organize the PT'!D89="","",'P1; Organize the PT'!D89)</f>
        <v/>
      </c>
      <c r="D73" s="211" t="str">
        <f>IF('P1; Organize the PT'!F89="","",'P1; Organize the PT'!F89)</f>
        <v/>
      </c>
      <c r="E73" s="213">
        <v>58</v>
      </c>
      <c r="F73" s="62"/>
      <c r="G73" s="63"/>
      <c r="H73" s="63"/>
      <c r="I73" s="64"/>
      <c r="J73" s="63"/>
      <c r="K73" s="444"/>
      <c r="L73" s="8" t="str">
        <f t="shared" si="0"/>
        <v/>
      </c>
      <c r="M73" s="65"/>
    </row>
    <row r="74" spans="1:13" x14ac:dyDescent="0.25">
      <c r="A74" s="211" t="str">
        <f>IF('P1; Organize the PT'!B90="","",'P1; Organize the PT'!B90)</f>
        <v/>
      </c>
      <c r="B74" s="14" t="str">
        <f>IF('P1; Organize the PT'!C90="","",'P1; Organize the PT'!C90)</f>
        <v/>
      </c>
      <c r="C74" s="447" t="str">
        <f>IF('P1; Organize the PT'!D90="","",'P1; Organize the PT'!D90)</f>
        <v/>
      </c>
      <c r="D74" s="211" t="str">
        <f>IF('P1; Organize the PT'!F90="","",'P1; Organize the PT'!F90)</f>
        <v/>
      </c>
      <c r="E74" s="213">
        <v>59</v>
      </c>
      <c r="F74" s="62"/>
      <c r="G74" s="63"/>
      <c r="H74" s="63"/>
      <c r="I74" s="64"/>
      <c r="J74" s="63"/>
      <c r="K74" s="444"/>
      <c r="L74" s="8" t="str">
        <f t="shared" si="0"/>
        <v/>
      </c>
      <c r="M74" s="65"/>
    </row>
    <row r="75" spans="1:13" x14ac:dyDescent="0.25">
      <c r="A75" s="211" t="str">
        <f>IF('P1; Organize the PT'!B91="","",'P1; Organize the PT'!B91)</f>
        <v/>
      </c>
      <c r="B75" s="14" t="str">
        <f>IF('P1; Organize the PT'!C91="","",'P1; Organize the PT'!C91)</f>
        <v/>
      </c>
      <c r="C75" s="447" t="str">
        <f>IF('P1; Organize the PT'!D91="","",'P1; Organize the PT'!D91)</f>
        <v/>
      </c>
      <c r="D75" s="211" t="str">
        <f>IF('P1; Organize the PT'!F91="","",'P1; Organize the PT'!F91)</f>
        <v/>
      </c>
      <c r="E75" s="213">
        <v>60</v>
      </c>
      <c r="F75" s="62"/>
      <c r="G75" s="63"/>
      <c r="H75" s="63"/>
      <c r="I75" s="64"/>
      <c r="J75" s="63"/>
      <c r="K75" s="444"/>
      <c r="L75" s="8" t="str">
        <f t="shared" si="0"/>
        <v/>
      </c>
      <c r="M75" s="65"/>
    </row>
    <row r="76" spans="1:13" x14ac:dyDescent="0.25">
      <c r="A76" s="211" t="str">
        <f>IF('P1; Organize the PT'!B92="","",'P1; Organize the PT'!B92)</f>
        <v/>
      </c>
      <c r="B76" s="14" t="str">
        <f>IF('P1; Organize the PT'!C92="","",'P1; Organize the PT'!C92)</f>
        <v/>
      </c>
      <c r="C76" s="447" t="str">
        <f>IF('P1; Organize the PT'!D92="","",'P1; Organize the PT'!D92)</f>
        <v/>
      </c>
      <c r="D76" s="211" t="str">
        <f>IF('P1; Organize the PT'!F92="","",'P1; Organize the PT'!F92)</f>
        <v/>
      </c>
      <c r="E76" s="213">
        <v>61</v>
      </c>
      <c r="F76" s="62"/>
      <c r="G76" s="63"/>
      <c r="H76" s="63"/>
      <c r="I76" s="64"/>
      <c r="J76" s="63"/>
      <c r="K76" s="444"/>
      <c r="L76" s="8" t="str">
        <f t="shared" si="0"/>
        <v/>
      </c>
      <c r="M76" s="65"/>
    </row>
    <row r="77" spans="1:13" x14ac:dyDescent="0.25">
      <c r="A77" s="211" t="str">
        <f>IF('P1; Organize the PT'!B93="","",'P1; Organize the PT'!B93)</f>
        <v/>
      </c>
      <c r="B77" s="14" t="str">
        <f>IF('P1; Organize the PT'!C93="","",'P1; Organize the PT'!C93)</f>
        <v/>
      </c>
      <c r="C77" s="447" t="str">
        <f>IF('P1; Organize the PT'!D93="","",'P1; Organize the PT'!D93)</f>
        <v/>
      </c>
      <c r="D77" s="211" t="str">
        <f>IF('P1; Organize the PT'!F93="","",'P1; Organize the PT'!F93)</f>
        <v/>
      </c>
      <c r="E77" s="213">
        <v>62</v>
      </c>
      <c r="F77" s="62"/>
      <c r="G77" s="63"/>
      <c r="H77" s="63"/>
      <c r="I77" s="64"/>
      <c r="J77" s="63"/>
      <c r="K77" s="444"/>
      <c r="L77" s="8" t="str">
        <f t="shared" si="0"/>
        <v/>
      </c>
      <c r="M77" s="65"/>
    </row>
    <row r="78" spans="1:13" x14ac:dyDescent="0.25">
      <c r="A78" s="211" t="str">
        <f>IF('P1; Organize the PT'!B94="","",'P1; Organize the PT'!B94)</f>
        <v/>
      </c>
      <c r="B78" s="14" t="str">
        <f>IF('P1; Organize the PT'!C94="","",'P1; Organize the PT'!C94)</f>
        <v/>
      </c>
      <c r="C78" s="447" t="str">
        <f>IF('P1; Organize the PT'!D94="","",'P1; Organize the PT'!D94)</f>
        <v/>
      </c>
      <c r="D78" s="211" t="str">
        <f>IF('P1; Organize the PT'!F94="","",'P1; Organize the PT'!F94)</f>
        <v/>
      </c>
      <c r="E78" s="213">
        <v>63</v>
      </c>
      <c r="F78" s="62"/>
      <c r="G78" s="63"/>
      <c r="H78" s="63"/>
      <c r="I78" s="64"/>
      <c r="J78" s="63"/>
      <c r="K78" s="444"/>
      <c r="L78" s="8" t="str">
        <f t="shared" si="0"/>
        <v/>
      </c>
      <c r="M78" s="65"/>
    </row>
    <row r="79" spans="1:13" x14ac:dyDescent="0.25">
      <c r="A79" s="211" t="str">
        <f>IF('P1; Organize the PT'!B95="","",'P1; Organize the PT'!B95)</f>
        <v/>
      </c>
      <c r="B79" s="14" t="str">
        <f>IF('P1; Organize the PT'!C95="","",'P1; Organize the PT'!C95)</f>
        <v/>
      </c>
      <c r="C79" s="447" t="str">
        <f>IF('P1; Organize the PT'!D95="","",'P1; Organize the PT'!D95)</f>
        <v/>
      </c>
      <c r="D79" s="211" t="str">
        <f>IF('P1; Organize the PT'!F95="","",'P1; Organize the PT'!F95)</f>
        <v/>
      </c>
      <c r="E79" s="213">
        <v>64</v>
      </c>
      <c r="F79" s="62"/>
      <c r="G79" s="63"/>
      <c r="H79" s="63"/>
      <c r="I79" s="64"/>
      <c r="J79" s="63"/>
      <c r="K79" s="444"/>
      <c r="L79" s="8" t="str">
        <f t="shared" si="0"/>
        <v/>
      </c>
      <c r="M79" s="65"/>
    </row>
    <row r="80" spans="1:13" x14ac:dyDescent="0.25">
      <c r="A80" s="211" t="str">
        <f>IF('P1; Organize the PT'!B96="","",'P1; Organize the PT'!B96)</f>
        <v/>
      </c>
      <c r="B80" s="14" t="str">
        <f>IF('P1; Organize the PT'!C96="","",'P1; Organize the PT'!C96)</f>
        <v/>
      </c>
      <c r="C80" s="447" t="str">
        <f>IF('P1; Organize the PT'!D96="","",'P1; Organize the PT'!D96)</f>
        <v/>
      </c>
      <c r="D80" s="211" t="str">
        <f>IF('P1; Organize the PT'!F96="","",'P1; Organize the PT'!F96)</f>
        <v/>
      </c>
      <c r="E80" s="213">
        <v>65</v>
      </c>
      <c r="F80" s="62"/>
      <c r="G80" s="63"/>
      <c r="H80" s="63"/>
      <c r="I80" s="64"/>
      <c r="J80" s="63"/>
      <c r="K80" s="444"/>
      <c r="L80" s="8" t="str">
        <f t="shared" si="0"/>
        <v/>
      </c>
      <c r="M80" s="65"/>
    </row>
    <row r="81" spans="1:13" x14ac:dyDescent="0.25">
      <c r="A81" s="211" t="str">
        <f>IF('P1; Organize the PT'!B97="","",'P1; Organize the PT'!B97)</f>
        <v/>
      </c>
      <c r="B81" s="14" t="str">
        <f>IF('P1; Organize the PT'!C97="","",'P1; Organize the PT'!C97)</f>
        <v/>
      </c>
      <c r="C81" s="447" t="str">
        <f>IF('P1; Organize the PT'!D97="","",'P1; Organize the PT'!D97)</f>
        <v/>
      </c>
      <c r="D81" s="211" t="str">
        <f>IF('P1; Organize the PT'!F97="","",'P1; Organize the PT'!F97)</f>
        <v/>
      </c>
      <c r="E81" s="213">
        <v>66</v>
      </c>
      <c r="F81" s="62"/>
      <c r="G81" s="63"/>
      <c r="H81" s="63"/>
      <c r="I81" s="64"/>
      <c r="J81" s="63"/>
      <c r="K81" s="444"/>
      <c r="L81" s="8" t="str">
        <f t="shared" ref="L81:L144" si="1">IF(J81="","",J81-G81)</f>
        <v/>
      </c>
      <c r="M81" s="65"/>
    </row>
    <row r="82" spans="1:13" x14ac:dyDescent="0.25">
      <c r="A82" s="211" t="str">
        <f>IF('P1; Organize the PT'!B98="","",'P1; Organize the PT'!B98)</f>
        <v/>
      </c>
      <c r="B82" s="14" t="str">
        <f>IF('P1; Organize the PT'!C98="","",'P1; Organize the PT'!C98)</f>
        <v/>
      </c>
      <c r="C82" s="447" t="str">
        <f>IF('P1; Organize the PT'!D98="","",'P1; Organize the PT'!D98)</f>
        <v/>
      </c>
      <c r="D82" s="211" t="str">
        <f>IF('P1; Organize the PT'!F98="","",'P1; Organize the PT'!F98)</f>
        <v/>
      </c>
      <c r="E82" s="213">
        <v>67</v>
      </c>
      <c r="F82" s="62"/>
      <c r="G82" s="63"/>
      <c r="H82" s="63"/>
      <c r="I82" s="64"/>
      <c r="J82" s="63"/>
      <c r="K82" s="444"/>
      <c r="L82" s="8" t="str">
        <f t="shared" si="1"/>
        <v/>
      </c>
      <c r="M82" s="65"/>
    </row>
    <row r="83" spans="1:13" x14ac:dyDescent="0.25">
      <c r="A83" s="211" t="str">
        <f>IF('P1; Organize the PT'!B99="","",'P1; Organize the PT'!B99)</f>
        <v/>
      </c>
      <c r="B83" s="14" t="str">
        <f>IF('P1; Organize the PT'!C99="","",'P1; Organize the PT'!C99)</f>
        <v/>
      </c>
      <c r="C83" s="447" t="str">
        <f>IF('P1; Organize the PT'!D99="","",'P1; Organize the PT'!D99)</f>
        <v/>
      </c>
      <c r="D83" s="211" t="str">
        <f>IF('P1; Organize the PT'!F99="","",'P1; Organize the PT'!F99)</f>
        <v/>
      </c>
      <c r="E83" s="213">
        <v>68</v>
      </c>
      <c r="F83" s="62"/>
      <c r="G83" s="63"/>
      <c r="H83" s="63"/>
      <c r="I83" s="64"/>
      <c r="J83" s="63"/>
      <c r="K83" s="444"/>
      <c r="L83" s="8" t="str">
        <f t="shared" si="1"/>
        <v/>
      </c>
      <c r="M83" s="65"/>
    </row>
    <row r="84" spans="1:13" x14ac:dyDescent="0.25">
      <c r="A84" s="211" t="str">
        <f>IF('P1; Organize the PT'!B100="","",'P1; Organize the PT'!B100)</f>
        <v/>
      </c>
      <c r="B84" s="14" t="str">
        <f>IF('P1; Organize the PT'!C100="","",'P1; Organize the PT'!C100)</f>
        <v/>
      </c>
      <c r="C84" s="447" t="str">
        <f>IF('P1; Organize the PT'!D100="","",'P1; Organize the PT'!D100)</f>
        <v/>
      </c>
      <c r="D84" s="211" t="str">
        <f>IF('P1; Organize the PT'!F100="","",'P1; Organize the PT'!F100)</f>
        <v/>
      </c>
      <c r="E84" s="213">
        <v>69</v>
      </c>
      <c r="F84" s="62"/>
      <c r="G84" s="63"/>
      <c r="H84" s="63"/>
      <c r="I84" s="64"/>
      <c r="J84" s="63"/>
      <c r="K84" s="444"/>
      <c r="L84" s="8" t="str">
        <f t="shared" si="1"/>
        <v/>
      </c>
      <c r="M84" s="65"/>
    </row>
    <row r="85" spans="1:13" x14ac:dyDescent="0.25">
      <c r="A85" s="211" t="str">
        <f>IF('P1; Organize the PT'!B101="","",'P1; Organize the PT'!B101)</f>
        <v/>
      </c>
      <c r="B85" s="14" t="str">
        <f>IF('P1; Organize the PT'!C101="","",'P1; Organize the PT'!C101)</f>
        <v/>
      </c>
      <c r="C85" s="447" t="str">
        <f>IF('P1; Organize the PT'!D101="","",'P1; Organize the PT'!D101)</f>
        <v/>
      </c>
      <c r="D85" s="211" t="str">
        <f>IF('P1; Organize the PT'!F101="","",'P1; Organize the PT'!F101)</f>
        <v/>
      </c>
      <c r="E85" s="213">
        <v>70</v>
      </c>
      <c r="F85" s="62"/>
      <c r="G85" s="63"/>
      <c r="H85" s="63"/>
      <c r="I85" s="64"/>
      <c r="J85" s="63"/>
      <c r="K85" s="444"/>
      <c r="L85" s="8" t="str">
        <f t="shared" si="1"/>
        <v/>
      </c>
      <c r="M85" s="65"/>
    </row>
    <row r="86" spans="1:13" x14ac:dyDescent="0.25">
      <c r="A86" s="211" t="str">
        <f>IF('P1; Organize the PT'!B102="","",'P1; Organize the PT'!B102)</f>
        <v/>
      </c>
      <c r="B86" s="14" t="str">
        <f>IF('P1; Organize the PT'!C102="","",'P1; Organize the PT'!C102)</f>
        <v/>
      </c>
      <c r="C86" s="447" t="str">
        <f>IF('P1; Organize the PT'!D102="","",'P1; Organize the PT'!D102)</f>
        <v/>
      </c>
      <c r="D86" s="211" t="str">
        <f>IF('P1; Organize the PT'!F102="","",'P1; Organize the PT'!F102)</f>
        <v/>
      </c>
      <c r="E86" s="213">
        <v>71</v>
      </c>
      <c r="F86" s="62"/>
      <c r="G86" s="63"/>
      <c r="H86" s="63"/>
      <c r="I86" s="64"/>
      <c r="J86" s="63"/>
      <c r="K86" s="444"/>
      <c r="L86" s="8" t="str">
        <f t="shared" si="1"/>
        <v/>
      </c>
      <c r="M86" s="65"/>
    </row>
    <row r="87" spans="1:13" x14ac:dyDescent="0.25">
      <c r="A87" s="211" t="str">
        <f>IF('P1; Organize the PT'!B103="","",'P1; Organize the PT'!B103)</f>
        <v/>
      </c>
      <c r="B87" s="14" t="str">
        <f>IF('P1; Organize the PT'!C103="","",'P1; Organize the PT'!C103)</f>
        <v/>
      </c>
      <c r="C87" s="447" t="str">
        <f>IF('P1; Organize the PT'!D103="","",'P1; Organize the PT'!D103)</f>
        <v/>
      </c>
      <c r="D87" s="211" t="str">
        <f>IF('P1; Organize the PT'!F103="","",'P1; Organize the PT'!F103)</f>
        <v/>
      </c>
      <c r="E87" s="213">
        <v>72</v>
      </c>
      <c r="F87" s="62"/>
      <c r="G87" s="63"/>
      <c r="H87" s="63"/>
      <c r="I87" s="64"/>
      <c r="J87" s="63"/>
      <c r="K87" s="444"/>
      <c r="L87" s="8" t="str">
        <f t="shared" si="1"/>
        <v/>
      </c>
      <c r="M87" s="65"/>
    </row>
    <row r="88" spans="1:13" x14ac:dyDescent="0.25">
      <c r="A88" s="211" t="str">
        <f>IF('P1; Organize the PT'!B104="","",'P1; Organize the PT'!B104)</f>
        <v/>
      </c>
      <c r="B88" s="14" t="str">
        <f>IF('P1; Organize the PT'!C104="","",'P1; Organize the PT'!C104)</f>
        <v/>
      </c>
      <c r="C88" s="447" t="str">
        <f>IF('P1; Organize the PT'!D104="","",'P1; Organize the PT'!D104)</f>
        <v/>
      </c>
      <c r="D88" s="211" t="str">
        <f>IF('P1; Organize the PT'!F104="","",'P1; Organize the PT'!F104)</f>
        <v/>
      </c>
      <c r="E88" s="213">
        <v>73</v>
      </c>
      <c r="F88" s="62"/>
      <c r="G88" s="63"/>
      <c r="H88" s="63"/>
      <c r="I88" s="64"/>
      <c r="J88" s="63"/>
      <c r="K88" s="444"/>
      <c r="L88" s="8" t="str">
        <f t="shared" si="1"/>
        <v/>
      </c>
      <c r="M88" s="65"/>
    </row>
    <row r="89" spans="1:13" x14ac:dyDescent="0.25">
      <c r="A89" s="211" t="str">
        <f>IF('P1; Organize the PT'!B105="","",'P1; Organize the PT'!B105)</f>
        <v/>
      </c>
      <c r="B89" s="14" t="str">
        <f>IF('P1; Organize the PT'!C105="","",'P1; Organize the PT'!C105)</f>
        <v/>
      </c>
      <c r="C89" s="447" t="str">
        <f>IF('P1; Organize the PT'!D105="","",'P1; Organize the PT'!D105)</f>
        <v/>
      </c>
      <c r="D89" s="211" t="str">
        <f>IF('P1; Organize the PT'!F105="","",'P1; Organize the PT'!F105)</f>
        <v/>
      </c>
      <c r="E89" s="213">
        <v>74</v>
      </c>
      <c r="F89" s="62"/>
      <c r="G89" s="63"/>
      <c r="H89" s="63"/>
      <c r="I89" s="64"/>
      <c r="J89" s="63"/>
      <c r="K89" s="444"/>
      <c r="L89" s="8" t="str">
        <f t="shared" si="1"/>
        <v/>
      </c>
      <c r="M89" s="65"/>
    </row>
    <row r="90" spans="1:13" x14ac:dyDescent="0.25">
      <c r="A90" s="211" t="str">
        <f>IF('P1; Organize the PT'!B106="","",'P1; Organize the PT'!B106)</f>
        <v/>
      </c>
      <c r="B90" s="14" t="str">
        <f>IF('P1; Organize the PT'!C106="","",'P1; Organize the PT'!C106)</f>
        <v/>
      </c>
      <c r="C90" s="447" t="str">
        <f>IF('P1; Organize the PT'!D106="","",'P1; Organize the PT'!D106)</f>
        <v/>
      </c>
      <c r="D90" s="211" t="str">
        <f>IF('P1; Organize the PT'!F106="","",'P1; Organize the PT'!F106)</f>
        <v/>
      </c>
      <c r="E90" s="213">
        <v>75</v>
      </c>
      <c r="F90" s="62"/>
      <c r="G90" s="63"/>
      <c r="H90" s="63"/>
      <c r="I90" s="64"/>
      <c r="J90" s="63"/>
      <c r="K90" s="444"/>
      <c r="L90" s="8" t="str">
        <f t="shared" si="1"/>
        <v/>
      </c>
      <c r="M90" s="65"/>
    </row>
    <row r="91" spans="1:13" x14ac:dyDescent="0.25">
      <c r="A91" s="211" t="str">
        <f>IF('P1; Organize the PT'!B107="","",'P1; Organize the PT'!B107)</f>
        <v/>
      </c>
      <c r="B91" s="14" t="str">
        <f>IF('P1; Organize the PT'!C107="","",'P1; Organize the PT'!C107)</f>
        <v/>
      </c>
      <c r="C91" s="447" t="str">
        <f>IF('P1; Organize the PT'!D107="","",'P1; Organize the PT'!D107)</f>
        <v/>
      </c>
      <c r="D91" s="211" t="str">
        <f>IF('P1; Organize the PT'!F107="","",'P1; Organize the PT'!F107)</f>
        <v/>
      </c>
      <c r="E91" s="213">
        <v>76</v>
      </c>
      <c r="F91" s="62"/>
      <c r="G91" s="63"/>
      <c r="H91" s="63"/>
      <c r="I91" s="64"/>
      <c r="J91" s="63"/>
      <c r="K91" s="444"/>
      <c r="L91" s="8" t="str">
        <f t="shared" si="1"/>
        <v/>
      </c>
      <c r="M91" s="65"/>
    </row>
    <row r="92" spans="1:13" x14ac:dyDescent="0.25">
      <c r="A92" s="211" t="str">
        <f>IF('P1; Organize the PT'!B108="","",'P1; Organize the PT'!B108)</f>
        <v/>
      </c>
      <c r="B92" s="14" t="str">
        <f>IF('P1; Organize the PT'!C108="","",'P1; Organize the PT'!C108)</f>
        <v/>
      </c>
      <c r="C92" s="447" t="str">
        <f>IF('P1; Organize the PT'!D108="","",'P1; Organize the PT'!D108)</f>
        <v/>
      </c>
      <c r="D92" s="211" t="str">
        <f>IF('P1; Organize the PT'!F108="","",'P1; Organize the PT'!F108)</f>
        <v/>
      </c>
      <c r="E92" s="213">
        <v>77</v>
      </c>
      <c r="F92" s="62"/>
      <c r="G92" s="63"/>
      <c r="H92" s="63"/>
      <c r="I92" s="64"/>
      <c r="J92" s="63"/>
      <c r="K92" s="444"/>
      <c r="L92" s="8" t="str">
        <f t="shared" si="1"/>
        <v/>
      </c>
      <c r="M92" s="65"/>
    </row>
    <row r="93" spans="1:13" x14ac:dyDescent="0.25">
      <c r="A93" s="211" t="str">
        <f>IF('P1; Organize the PT'!B109="","",'P1; Organize the PT'!B109)</f>
        <v/>
      </c>
      <c r="B93" s="14" t="str">
        <f>IF('P1; Organize the PT'!C109="","",'P1; Organize the PT'!C109)</f>
        <v/>
      </c>
      <c r="C93" s="447" t="str">
        <f>IF('P1; Organize the PT'!D109="","",'P1; Organize the PT'!D109)</f>
        <v/>
      </c>
      <c r="D93" s="211" t="str">
        <f>IF('P1; Organize the PT'!F109="","",'P1; Organize the PT'!F109)</f>
        <v/>
      </c>
      <c r="E93" s="213">
        <v>78</v>
      </c>
      <c r="F93" s="62"/>
      <c r="G93" s="63"/>
      <c r="H93" s="63"/>
      <c r="I93" s="64"/>
      <c r="J93" s="63"/>
      <c r="K93" s="444"/>
      <c r="L93" s="8" t="str">
        <f t="shared" si="1"/>
        <v/>
      </c>
      <c r="M93" s="65"/>
    </row>
    <row r="94" spans="1:13" x14ac:dyDescent="0.25">
      <c r="A94" s="211" t="str">
        <f>IF('P1; Organize the PT'!B110="","",'P1; Organize the PT'!B110)</f>
        <v/>
      </c>
      <c r="B94" s="14" t="str">
        <f>IF('P1; Organize the PT'!C110="","",'P1; Organize the PT'!C110)</f>
        <v/>
      </c>
      <c r="C94" s="447" t="str">
        <f>IF('P1; Organize the PT'!D110="","",'P1; Organize the PT'!D110)</f>
        <v/>
      </c>
      <c r="D94" s="211" t="str">
        <f>IF('P1; Organize the PT'!F110="","",'P1; Organize the PT'!F110)</f>
        <v/>
      </c>
      <c r="E94" s="213">
        <v>79</v>
      </c>
      <c r="F94" s="62"/>
      <c r="G94" s="63"/>
      <c r="H94" s="63"/>
      <c r="I94" s="64"/>
      <c r="J94" s="63"/>
      <c r="K94" s="444"/>
      <c r="L94" s="8" t="str">
        <f t="shared" si="1"/>
        <v/>
      </c>
      <c r="M94" s="65"/>
    </row>
    <row r="95" spans="1:13" x14ac:dyDescent="0.25">
      <c r="A95" s="211" t="str">
        <f>IF('P1; Organize the PT'!B111="","",'P1; Organize the PT'!B111)</f>
        <v/>
      </c>
      <c r="B95" s="14" t="str">
        <f>IF('P1; Organize the PT'!C111="","",'P1; Organize the PT'!C111)</f>
        <v/>
      </c>
      <c r="C95" s="447" t="str">
        <f>IF('P1; Organize the PT'!D111="","",'P1; Organize the PT'!D111)</f>
        <v/>
      </c>
      <c r="D95" s="211" t="str">
        <f>IF('P1; Organize the PT'!F111="","",'P1; Organize the PT'!F111)</f>
        <v/>
      </c>
      <c r="E95" s="213">
        <v>80</v>
      </c>
      <c r="F95" s="62"/>
      <c r="G95" s="63"/>
      <c r="H95" s="63"/>
      <c r="I95" s="64"/>
      <c r="J95" s="63"/>
      <c r="K95" s="444"/>
      <c r="L95" s="8" t="str">
        <f t="shared" si="1"/>
        <v/>
      </c>
      <c r="M95" s="65"/>
    </row>
    <row r="96" spans="1:13" x14ac:dyDescent="0.25">
      <c r="A96" s="211" t="str">
        <f>IF('P1; Organize the PT'!B112="","",'P1; Organize the PT'!B112)</f>
        <v/>
      </c>
      <c r="B96" s="14" t="str">
        <f>IF('P1; Organize the PT'!C112="","",'P1; Organize the PT'!C112)</f>
        <v/>
      </c>
      <c r="C96" s="447" t="str">
        <f>IF('P1; Organize the PT'!D112="","",'P1; Organize the PT'!D112)</f>
        <v/>
      </c>
      <c r="D96" s="211" t="str">
        <f>IF('P1; Organize the PT'!F112="","",'P1; Organize the PT'!F112)</f>
        <v/>
      </c>
      <c r="E96" s="213">
        <v>81</v>
      </c>
      <c r="F96" s="62"/>
      <c r="G96" s="63"/>
      <c r="H96" s="63"/>
      <c r="I96" s="64"/>
      <c r="J96" s="63"/>
      <c r="K96" s="444"/>
      <c r="L96" s="8" t="str">
        <f t="shared" si="1"/>
        <v/>
      </c>
      <c r="M96" s="65"/>
    </row>
    <row r="97" spans="1:13" x14ac:dyDescent="0.25">
      <c r="A97" s="211" t="str">
        <f>IF('P1; Organize the PT'!B113="","",'P1; Organize the PT'!B113)</f>
        <v/>
      </c>
      <c r="B97" s="14" t="str">
        <f>IF('P1; Organize the PT'!C113="","",'P1; Organize the PT'!C113)</f>
        <v/>
      </c>
      <c r="C97" s="447" t="str">
        <f>IF('P1; Organize the PT'!D113="","",'P1; Organize the PT'!D113)</f>
        <v/>
      </c>
      <c r="D97" s="211" t="str">
        <f>IF('P1; Organize the PT'!F113="","",'P1; Organize the PT'!F113)</f>
        <v/>
      </c>
      <c r="E97" s="213">
        <v>82</v>
      </c>
      <c r="F97" s="62"/>
      <c r="G97" s="63"/>
      <c r="H97" s="63"/>
      <c r="I97" s="64"/>
      <c r="J97" s="63"/>
      <c r="K97" s="444"/>
      <c r="L97" s="8" t="str">
        <f t="shared" si="1"/>
        <v/>
      </c>
      <c r="M97" s="65"/>
    </row>
    <row r="98" spans="1:13" x14ac:dyDescent="0.25">
      <c r="A98" s="211" t="str">
        <f>IF('P1; Organize the PT'!B114="","",'P1; Organize the PT'!B114)</f>
        <v/>
      </c>
      <c r="B98" s="14" t="str">
        <f>IF('P1; Organize the PT'!C114="","",'P1; Organize the PT'!C114)</f>
        <v/>
      </c>
      <c r="C98" s="447" t="str">
        <f>IF('P1; Organize the PT'!D114="","",'P1; Organize the PT'!D114)</f>
        <v/>
      </c>
      <c r="D98" s="211" t="str">
        <f>IF('P1; Organize the PT'!F114="","",'P1; Organize the PT'!F114)</f>
        <v/>
      </c>
      <c r="E98" s="213">
        <v>83</v>
      </c>
      <c r="F98" s="62"/>
      <c r="G98" s="63"/>
      <c r="H98" s="63"/>
      <c r="I98" s="64"/>
      <c r="J98" s="63"/>
      <c r="K98" s="444"/>
      <c r="L98" s="8" t="str">
        <f t="shared" si="1"/>
        <v/>
      </c>
      <c r="M98" s="65"/>
    </row>
    <row r="99" spans="1:13" x14ac:dyDescent="0.25">
      <c r="A99" s="211" t="str">
        <f>IF('P1; Organize the PT'!B115="","",'P1; Organize the PT'!B115)</f>
        <v/>
      </c>
      <c r="B99" s="14" t="str">
        <f>IF('P1; Organize the PT'!C115="","",'P1; Organize the PT'!C115)</f>
        <v/>
      </c>
      <c r="C99" s="447" t="str">
        <f>IF('P1; Organize the PT'!D115="","",'P1; Organize the PT'!D115)</f>
        <v/>
      </c>
      <c r="D99" s="211" t="str">
        <f>IF('P1; Organize the PT'!F115="","",'P1; Organize the PT'!F115)</f>
        <v/>
      </c>
      <c r="E99" s="213">
        <v>84</v>
      </c>
      <c r="F99" s="62"/>
      <c r="G99" s="63"/>
      <c r="H99" s="63"/>
      <c r="I99" s="64"/>
      <c r="J99" s="63"/>
      <c r="K99" s="444"/>
      <c r="L99" s="8" t="str">
        <f t="shared" si="1"/>
        <v/>
      </c>
      <c r="M99" s="65"/>
    </row>
    <row r="100" spans="1:13" x14ac:dyDescent="0.25">
      <c r="A100" s="211" t="str">
        <f>IF('P1; Organize the PT'!B116="","",'P1; Organize the PT'!B116)</f>
        <v/>
      </c>
      <c r="B100" s="14" t="str">
        <f>IF('P1; Organize the PT'!C116="","",'P1; Organize the PT'!C116)</f>
        <v/>
      </c>
      <c r="C100" s="447" t="str">
        <f>IF('P1; Organize the PT'!D116="","",'P1; Organize the PT'!D116)</f>
        <v/>
      </c>
      <c r="D100" s="211" t="str">
        <f>IF('P1; Organize the PT'!F116="","",'P1; Organize the PT'!F116)</f>
        <v/>
      </c>
      <c r="E100" s="213">
        <v>85</v>
      </c>
      <c r="F100" s="62"/>
      <c r="G100" s="63"/>
      <c r="H100" s="63"/>
      <c r="I100" s="64"/>
      <c r="J100" s="63"/>
      <c r="K100" s="444"/>
      <c r="L100" s="8" t="str">
        <f t="shared" si="1"/>
        <v/>
      </c>
      <c r="M100" s="65"/>
    </row>
    <row r="101" spans="1:13" x14ac:dyDescent="0.25">
      <c r="A101" s="211" t="str">
        <f>IF('P1; Organize the PT'!B117="","",'P1; Organize the PT'!B117)</f>
        <v/>
      </c>
      <c r="B101" s="14" t="str">
        <f>IF('P1; Organize the PT'!C117="","",'P1; Organize the PT'!C117)</f>
        <v/>
      </c>
      <c r="C101" s="447" t="str">
        <f>IF('P1; Organize the PT'!D117="","",'P1; Organize the PT'!D117)</f>
        <v/>
      </c>
      <c r="D101" s="211" t="str">
        <f>IF('P1; Organize the PT'!F117="","",'P1; Organize the PT'!F117)</f>
        <v/>
      </c>
      <c r="E101" s="213">
        <v>86</v>
      </c>
      <c r="F101" s="62"/>
      <c r="G101" s="63"/>
      <c r="H101" s="63"/>
      <c r="I101" s="64"/>
      <c r="J101" s="63"/>
      <c r="K101" s="444"/>
      <c r="L101" s="8" t="str">
        <f t="shared" si="1"/>
        <v/>
      </c>
      <c r="M101" s="65"/>
    </row>
    <row r="102" spans="1:13" x14ac:dyDescent="0.25">
      <c r="A102" s="211" t="str">
        <f>IF('P1; Organize the PT'!B118="","",'P1; Organize the PT'!B118)</f>
        <v/>
      </c>
      <c r="B102" s="14" t="str">
        <f>IF('P1; Organize the PT'!C118="","",'P1; Organize the PT'!C118)</f>
        <v/>
      </c>
      <c r="C102" s="447" t="str">
        <f>IF('P1; Organize the PT'!D118="","",'P1; Organize the PT'!D118)</f>
        <v/>
      </c>
      <c r="D102" s="211" t="str">
        <f>IF('P1; Organize the PT'!F118="","",'P1; Organize the PT'!F118)</f>
        <v/>
      </c>
      <c r="E102" s="213">
        <v>87</v>
      </c>
      <c r="F102" s="62"/>
      <c r="G102" s="63"/>
      <c r="H102" s="63"/>
      <c r="I102" s="64"/>
      <c r="J102" s="63"/>
      <c r="K102" s="444"/>
      <c r="L102" s="8" t="str">
        <f t="shared" si="1"/>
        <v/>
      </c>
      <c r="M102" s="65"/>
    </row>
    <row r="103" spans="1:13" x14ac:dyDescent="0.25">
      <c r="A103" s="211" t="str">
        <f>IF('P1; Organize the PT'!B119="","",'P1; Organize the PT'!B119)</f>
        <v/>
      </c>
      <c r="B103" s="14" t="str">
        <f>IF('P1; Organize the PT'!C119="","",'P1; Organize the PT'!C119)</f>
        <v/>
      </c>
      <c r="C103" s="447" t="str">
        <f>IF('P1; Organize the PT'!D119="","",'P1; Organize the PT'!D119)</f>
        <v/>
      </c>
      <c r="D103" s="211" t="str">
        <f>IF('P1; Organize the PT'!F119="","",'P1; Organize the PT'!F119)</f>
        <v/>
      </c>
      <c r="E103" s="213">
        <v>88</v>
      </c>
      <c r="F103" s="62"/>
      <c r="G103" s="63"/>
      <c r="H103" s="63"/>
      <c r="I103" s="64"/>
      <c r="J103" s="63"/>
      <c r="K103" s="444"/>
      <c r="L103" s="8" t="str">
        <f t="shared" si="1"/>
        <v/>
      </c>
      <c r="M103" s="65"/>
    </row>
    <row r="104" spans="1:13" x14ac:dyDescent="0.25">
      <c r="A104" s="211" t="str">
        <f>IF('P1; Organize the PT'!B120="","",'P1; Organize the PT'!B120)</f>
        <v/>
      </c>
      <c r="B104" s="14" t="str">
        <f>IF('P1; Organize the PT'!C120="","",'P1; Organize the PT'!C120)</f>
        <v/>
      </c>
      <c r="C104" s="447" t="str">
        <f>IF('P1; Organize the PT'!D120="","",'P1; Organize the PT'!D120)</f>
        <v/>
      </c>
      <c r="D104" s="211" t="str">
        <f>IF('P1; Organize the PT'!F120="","",'P1; Organize the PT'!F120)</f>
        <v/>
      </c>
      <c r="E104" s="213">
        <v>89</v>
      </c>
      <c r="F104" s="62"/>
      <c r="G104" s="63"/>
      <c r="H104" s="63"/>
      <c r="I104" s="64"/>
      <c r="J104" s="63"/>
      <c r="K104" s="444"/>
      <c r="L104" s="8" t="str">
        <f t="shared" si="1"/>
        <v/>
      </c>
      <c r="M104" s="65"/>
    </row>
    <row r="105" spans="1:13" x14ac:dyDescent="0.25">
      <c r="A105" s="211" t="str">
        <f>IF('P1; Organize the PT'!B121="","",'P1; Organize the PT'!B121)</f>
        <v/>
      </c>
      <c r="B105" s="14" t="str">
        <f>IF('P1; Organize the PT'!C121="","",'P1; Organize the PT'!C121)</f>
        <v/>
      </c>
      <c r="C105" s="447" t="str">
        <f>IF('P1; Organize the PT'!D121="","",'P1; Organize the PT'!D121)</f>
        <v/>
      </c>
      <c r="D105" s="211" t="str">
        <f>IF('P1; Organize the PT'!F121="","",'P1; Organize the PT'!F121)</f>
        <v/>
      </c>
      <c r="E105" s="213">
        <v>90</v>
      </c>
      <c r="F105" s="62"/>
      <c r="G105" s="63"/>
      <c r="H105" s="63"/>
      <c r="I105" s="64"/>
      <c r="J105" s="63"/>
      <c r="K105" s="444"/>
      <c r="L105" s="8" t="str">
        <f t="shared" si="1"/>
        <v/>
      </c>
      <c r="M105" s="65"/>
    </row>
    <row r="106" spans="1:13" x14ac:dyDescent="0.25">
      <c r="A106" s="211" t="str">
        <f>IF('P1; Organize the PT'!B122="","",'P1; Organize the PT'!B122)</f>
        <v/>
      </c>
      <c r="B106" s="14" t="str">
        <f>IF('P1; Organize the PT'!C122="","",'P1; Organize the PT'!C122)</f>
        <v/>
      </c>
      <c r="C106" s="447" t="str">
        <f>IF('P1; Organize the PT'!D122="","",'P1; Organize the PT'!D122)</f>
        <v/>
      </c>
      <c r="D106" s="211" t="str">
        <f>IF('P1; Organize the PT'!F122="","",'P1; Organize the PT'!F122)</f>
        <v/>
      </c>
      <c r="E106" s="213">
        <v>91</v>
      </c>
      <c r="F106" s="62"/>
      <c r="G106" s="63"/>
      <c r="H106" s="63"/>
      <c r="I106" s="64"/>
      <c r="J106" s="63"/>
      <c r="K106" s="444"/>
      <c r="L106" s="8" t="str">
        <f t="shared" si="1"/>
        <v/>
      </c>
      <c r="M106" s="65"/>
    </row>
    <row r="107" spans="1:13" x14ac:dyDescent="0.25">
      <c r="A107" s="211" t="str">
        <f>IF('P1; Organize the PT'!B123="","",'P1; Organize the PT'!B123)</f>
        <v/>
      </c>
      <c r="B107" s="14" t="str">
        <f>IF('P1; Organize the PT'!C123="","",'P1; Organize the PT'!C123)</f>
        <v/>
      </c>
      <c r="C107" s="447" t="str">
        <f>IF('P1; Organize the PT'!D123="","",'P1; Organize the PT'!D123)</f>
        <v/>
      </c>
      <c r="D107" s="211" t="str">
        <f>IF('P1; Organize the PT'!F123="","",'P1; Organize the PT'!F123)</f>
        <v/>
      </c>
      <c r="E107" s="213">
        <v>92</v>
      </c>
      <c r="F107" s="62"/>
      <c r="G107" s="63"/>
      <c r="H107" s="63"/>
      <c r="I107" s="64"/>
      <c r="J107" s="63"/>
      <c r="K107" s="444"/>
      <c r="L107" s="8" t="str">
        <f t="shared" si="1"/>
        <v/>
      </c>
      <c r="M107" s="65"/>
    </row>
    <row r="108" spans="1:13" x14ac:dyDescent="0.25">
      <c r="A108" s="211" t="str">
        <f>IF('P1; Organize the PT'!B124="","",'P1; Organize the PT'!B124)</f>
        <v/>
      </c>
      <c r="B108" s="14" t="str">
        <f>IF('P1; Organize the PT'!C124="","",'P1; Organize the PT'!C124)</f>
        <v/>
      </c>
      <c r="C108" s="447" t="str">
        <f>IF('P1; Organize the PT'!D124="","",'P1; Organize the PT'!D124)</f>
        <v/>
      </c>
      <c r="D108" s="211" t="str">
        <f>IF('P1; Organize the PT'!F124="","",'P1; Organize the PT'!F124)</f>
        <v/>
      </c>
      <c r="E108" s="213">
        <v>93</v>
      </c>
      <c r="F108" s="62"/>
      <c r="G108" s="63"/>
      <c r="H108" s="63"/>
      <c r="I108" s="64"/>
      <c r="J108" s="63"/>
      <c r="K108" s="444"/>
      <c r="L108" s="8" t="str">
        <f t="shared" si="1"/>
        <v/>
      </c>
      <c r="M108" s="65"/>
    </row>
    <row r="109" spans="1:13" x14ac:dyDescent="0.25">
      <c r="A109" s="211" t="str">
        <f>IF('P1; Organize the PT'!B125="","",'P1; Organize the PT'!B125)</f>
        <v/>
      </c>
      <c r="B109" s="14" t="str">
        <f>IF('P1; Organize the PT'!C125="","",'P1; Organize the PT'!C125)</f>
        <v/>
      </c>
      <c r="C109" s="447" t="str">
        <f>IF('P1; Organize the PT'!D125="","",'P1; Organize the PT'!D125)</f>
        <v/>
      </c>
      <c r="D109" s="211" t="str">
        <f>IF('P1; Organize the PT'!F125="","",'P1; Organize the PT'!F125)</f>
        <v/>
      </c>
      <c r="E109" s="213">
        <v>94</v>
      </c>
      <c r="F109" s="62"/>
      <c r="G109" s="63"/>
      <c r="H109" s="63"/>
      <c r="I109" s="64"/>
      <c r="J109" s="63"/>
      <c r="K109" s="444"/>
      <c r="L109" s="8" t="str">
        <f t="shared" si="1"/>
        <v/>
      </c>
      <c r="M109" s="65"/>
    </row>
    <row r="110" spans="1:13" x14ac:dyDescent="0.25">
      <c r="A110" s="211" t="str">
        <f>IF('P1; Organize the PT'!B126="","",'P1; Organize the PT'!B126)</f>
        <v/>
      </c>
      <c r="B110" s="14" t="str">
        <f>IF('P1; Organize the PT'!C126="","",'P1; Organize the PT'!C126)</f>
        <v/>
      </c>
      <c r="C110" s="447" t="str">
        <f>IF('P1; Organize the PT'!D126="","",'P1; Organize the PT'!D126)</f>
        <v/>
      </c>
      <c r="D110" s="211" t="str">
        <f>IF('P1; Organize the PT'!F126="","",'P1; Organize the PT'!F126)</f>
        <v/>
      </c>
      <c r="E110" s="213">
        <v>95</v>
      </c>
      <c r="F110" s="62"/>
      <c r="G110" s="63"/>
      <c r="H110" s="63"/>
      <c r="I110" s="64"/>
      <c r="J110" s="63"/>
      <c r="K110" s="444"/>
      <c r="L110" s="8" t="str">
        <f t="shared" si="1"/>
        <v/>
      </c>
      <c r="M110" s="65"/>
    </row>
    <row r="111" spans="1:13" x14ac:dyDescent="0.25">
      <c r="A111" s="211" t="str">
        <f>IF('P1; Organize the PT'!B127="","",'P1; Organize the PT'!B127)</f>
        <v/>
      </c>
      <c r="B111" s="14" t="str">
        <f>IF('P1; Organize the PT'!C127="","",'P1; Organize the PT'!C127)</f>
        <v/>
      </c>
      <c r="C111" s="447" t="str">
        <f>IF('P1; Organize the PT'!D127="","",'P1; Organize the PT'!D127)</f>
        <v/>
      </c>
      <c r="D111" s="211" t="str">
        <f>IF('P1; Organize the PT'!F127="","",'P1; Organize the PT'!F127)</f>
        <v/>
      </c>
      <c r="E111" s="213">
        <v>96</v>
      </c>
      <c r="F111" s="62"/>
      <c r="G111" s="63"/>
      <c r="H111" s="63"/>
      <c r="I111" s="64"/>
      <c r="J111" s="63"/>
      <c r="K111" s="444"/>
      <c r="L111" s="8" t="str">
        <f t="shared" si="1"/>
        <v/>
      </c>
      <c r="M111" s="65"/>
    </row>
    <row r="112" spans="1:13" x14ac:dyDescent="0.25">
      <c r="A112" s="211" t="str">
        <f>IF('P1; Organize the PT'!B128="","",'P1; Organize the PT'!B128)</f>
        <v/>
      </c>
      <c r="B112" s="14" t="str">
        <f>IF('P1; Organize the PT'!C128="","",'P1; Organize the PT'!C128)</f>
        <v/>
      </c>
      <c r="C112" s="447" t="str">
        <f>IF('P1; Organize the PT'!D128="","",'P1; Organize the PT'!D128)</f>
        <v/>
      </c>
      <c r="D112" s="211" t="str">
        <f>IF('P1; Organize the PT'!F128="","",'P1; Organize the PT'!F128)</f>
        <v/>
      </c>
      <c r="E112" s="213">
        <v>97</v>
      </c>
      <c r="F112" s="62"/>
      <c r="G112" s="63"/>
      <c r="H112" s="63"/>
      <c r="I112" s="64"/>
      <c r="J112" s="63"/>
      <c r="K112" s="444"/>
      <c r="L112" s="8" t="str">
        <f t="shared" si="1"/>
        <v/>
      </c>
      <c r="M112" s="65"/>
    </row>
    <row r="113" spans="1:13" x14ac:dyDescent="0.25">
      <c r="A113" s="211" t="str">
        <f>IF('P1; Organize the PT'!B129="","",'P1; Organize the PT'!B129)</f>
        <v/>
      </c>
      <c r="B113" s="14" t="str">
        <f>IF('P1; Organize the PT'!C129="","",'P1; Organize the PT'!C129)</f>
        <v/>
      </c>
      <c r="C113" s="447" t="str">
        <f>IF('P1; Organize the PT'!D129="","",'P1; Organize the PT'!D129)</f>
        <v/>
      </c>
      <c r="D113" s="211" t="str">
        <f>IF('P1; Organize the PT'!F129="","",'P1; Organize the PT'!F129)</f>
        <v/>
      </c>
      <c r="E113" s="213">
        <v>98</v>
      </c>
      <c r="F113" s="62"/>
      <c r="G113" s="63"/>
      <c r="H113" s="63"/>
      <c r="I113" s="64"/>
      <c r="J113" s="63"/>
      <c r="K113" s="444"/>
      <c r="L113" s="8" t="str">
        <f t="shared" si="1"/>
        <v/>
      </c>
      <c r="M113" s="65"/>
    </row>
    <row r="114" spans="1:13" x14ac:dyDescent="0.25">
      <c r="A114" s="211" t="str">
        <f>IF('P1; Organize the PT'!B130="","",'P1; Organize the PT'!B130)</f>
        <v/>
      </c>
      <c r="B114" s="14" t="str">
        <f>IF('P1; Organize the PT'!C130="","",'P1; Organize the PT'!C130)</f>
        <v/>
      </c>
      <c r="C114" s="447" t="str">
        <f>IF('P1; Organize the PT'!D130="","",'P1; Organize the PT'!D130)</f>
        <v/>
      </c>
      <c r="D114" s="211" t="str">
        <f>IF('P1; Organize the PT'!F130="","",'P1; Organize the PT'!F130)</f>
        <v/>
      </c>
      <c r="E114" s="213">
        <v>99</v>
      </c>
      <c r="F114" s="62"/>
      <c r="G114" s="63"/>
      <c r="H114" s="63"/>
      <c r="I114" s="64"/>
      <c r="J114" s="63"/>
      <c r="K114" s="444"/>
      <c r="L114" s="8" t="str">
        <f t="shared" si="1"/>
        <v/>
      </c>
      <c r="M114" s="65"/>
    </row>
    <row r="115" spans="1:13" x14ac:dyDescent="0.25">
      <c r="A115" s="211" t="str">
        <f>IF('P1; Organize the PT'!B131="","",'P1; Organize the PT'!B131)</f>
        <v/>
      </c>
      <c r="B115" s="14" t="str">
        <f>IF('P1; Organize the PT'!C131="","",'P1; Organize the PT'!C131)</f>
        <v/>
      </c>
      <c r="C115" s="447" t="str">
        <f>IF('P1; Organize the PT'!D131="","",'P1; Organize the PT'!D131)</f>
        <v/>
      </c>
      <c r="D115" s="211" t="str">
        <f>IF('P1; Organize the PT'!F131="","",'P1; Organize the PT'!F131)</f>
        <v/>
      </c>
      <c r="E115" s="213">
        <v>100</v>
      </c>
      <c r="F115" s="62"/>
      <c r="G115" s="63"/>
      <c r="H115" s="63"/>
      <c r="I115" s="64"/>
      <c r="J115" s="63"/>
      <c r="K115" s="444"/>
      <c r="L115" s="8" t="str">
        <f t="shared" si="1"/>
        <v/>
      </c>
      <c r="M115" s="65"/>
    </row>
    <row r="116" spans="1:13" x14ac:dyDescent="0.25">
      <c r="A116" s="211" t="str">
        <f>IF('P1; Organize the PT'!B132="","",'P1; Organize the PT'!B132)</f>
        <v/>
      </c>
      <c r="B116" s="14" t="str">
        <f>IF('P1; Organize the PT'!C132="","",'P1; Organize the PT'!C132)</f>
        <v/>
      </c>
      <c r="C116" s="447" t="str">
        <f>IF('P1; Organize the PT'!D132="","",'P1; Organize the PT'!D132)</f>
        <v/>
      </c>
      <c r="D116" s="211" t="str">
        <f>IF('P1; Organize the PT'!F132="","",'P1; Organize the PT'!F132)</f>
        <v/>
      </c>
      <c r="E116" s="213">
        <v>101</v>
      </c>
      <c r="F116" s="62"/>
      <c r="G116" s="63"/>
      <c r="H116" s="63"/>
      <c r="I116" s="64"/>
      <c r="J116" s="63"/>
      <c r="K116" s="444"/>
      <c r="L116" s="8" t="str">
        <f t="shared" si="1"/>
        <v/>
      </c>
      <c r="M116" s="65"/>
    </row>
    <row r="117" spans="1:13" x14ac:dyDescent="0.25">
      <c r="A117" s="211" t="str">
        <f>IF('P1; Organize the PT'!B133="","",'P1; Organize the PT'!B133)</f>
        <v/>
      </c>
      <c r="B117" s="14" t="str">
        <f>IF('P1; Organize the PT'!C133="","",'P1; Organize the PT'!C133)</f>
        <v/>
      </c>
      <c r="C117" s="447" t="str">
        <f>IF('P1; Organize the PT'!D133="","",'P1; Organize the PT'!D133)</f>
        <v/>
      </c>
      <c r="D117" s="211" t="str">
        <f>IF('P1; Organize the PT'!F133="","",'P1; Organize the PT'!F133)</f>
        <v/>
      </c>
      <c r="E117" s="213">
        <v>102</v>
      </c>
      <c r="F117" s="62"/>
      <c r="G117" s="63"/>
      <c r="H117" s="63"/>
      <c r="I117" s="64"/>
      <c r="J117" s="63"/>
      <c r="K117" s="444"/>
      <c r="L117" s="8" t="str">
        <f t="shared" si="1"/>
        <v/>
      </c>
      <c r="M117" s="65"/>
    </row>
    <row r="118" spans="1:13" x14ac:dyDescent="0.25">
      <c r="A118" s="211" t="str">
        <f>IF('P1; Organize the PT'!B134="","",'P1; Organize the PT'!B134)</f>
        <v/>
      </c>
      <c r="B118" s="14" t="str">
        <f>IF('P1; Organize the PT'!C134="","",'P1; Organize the PT'!C134)</f>
        <v/>
      </c>
      <c r="C118" s="447" t="str">
        <f>IF('P1; Organize the PT'!D134="","",'P1; Organize the PT'!D134)</f>
        <v/>
      </c>
      <c r="D118" s="211" t="str">
        <f>IF('P1; Organize the PT'!F134="","",'P1; Organize the PT'!F134)</f>
        <v/>
      </c>
      <c r="E118" s="213">
        <v>103</v>
      </c>
      <c r="F118" s="62"/>
      <c r="G118" s="63"/>
      <c r="H118" s="63"/>
      <c r="I118" s="64"/>
      <c r="J118" s="63"/>
      <c r="K118" s="444"/>
      <c r="L118" s="8" t="str">
        <f t="shared" si="1"/>
        <v/>
      </c>
      <c r="M118" s="65"/>
    </row>
    <row r="119" spans="1:13" x14ac:dyDescent="0.25">
      <c r="A119" s="211" t="str">
        <f>IF('P1; Organize the PT'!B135="","",'P1; Organize the PT'!B135)</f>
        <v/>
      </c>
      <c r="B119" s="14" t="str">
        <f>IF('P1; Organize the PT'!C135="","",'P1; Organize the PT'!C135)</f>
        <v/>
      </c>
      <c r="C119" s="447" t="str">
        <f>IF('P1; Organize the PT'!D135="","",'P1; Organize the PT'!D135)</f>
        <v/>
      </c>
      <c r="D119" s="211" t="str">
        <f>IF('P1; Organize the PT'!F135="","",'P1; Organize the PT'!F135)</f>
        <v/>
      </c>
      <c r="E119" s="213">
        <v>104</v>
      </c>
      <c r="F119" s="62"/>
      <c r="G119" s="63"/>
      <c r="H119" s="63"/>
      <c r="I119" s="64"/>
      <c r="J119" s="63"/>
      <c r="K119" s="444"/>
      <c r="L119" s="8" t="str">
        <f t="shared" si="1"/>
        <v/>
      </c>
      <c r="M119" s="65"/>
    </row>
    <row r="120" spans="1:13" x14ac:dyDescent="0.25">
      <c r="A120" s="211" t="str">
        <f>IF('P1; Organize the PT'!B136="","",'P1; Organize the PT'!B136)</f>
        <v/>
      </c>
      <c r="B120" s="14" t="str">
        <f>IF('P1; Organize the PT'!C136="","",'P1; Organize the PT'!C136)</f>
        <v/>
      </c>
      <c r="C120" s="447" t="str">
        <f>IF('P1; Organize the PT'!D136="","",'P1; Organize the PT'!D136)</f>
        <v/>
      </c>
      <c r="D120" s="211" t="str">
        <f>IF('P1; Organize the PT'!F136="","",'P1; Organize the PT'!F136)</f>
        <v/>
      </c>
      <c r="E120" s="213">
        <v>105</v>
      </c>
      <c r="F120" s="62"/>
      <c r="G120" s="63"/>
      <c r="H120" s="63"/>
      <c r="I120" s="64"/>
      <c r="J120" s="63"/>
      <c r="K120" s="444"/>
      <c r="L120" s="8" t="str">
        <f t="shared" si="1"/>
        <v/>
      </c>
      <c r="M120" s="65"/>
    </row>
    <row r="121" spans="1:13" x14ac:dyDescent="0.25">
      <c r="A121" s="211" t="str">
        <f>IF('P1; Organize the PT'!B137="","",'P1; Organize the PT'!B137)</f>
        <v/>
      </c>
      <c r="B121" s="14" t="str">
        <f>IF('P1; Organize the PT'!C137="","",'P1; Organize the PT'!C137)</f>
        <v/>
      </c>
      <c r="C121" s="447" t="str">
        <f>IF('P1; Organize the PT'!D137="","",'P1; Organize the PT'!D137)</f>
        <v/>
      </c>
      <c r="D121" s="211" t="str">
        <f>IF('P1; Organize the PT'!F137="","",'P1; Organize the PT'!F137)</f>
        <v/>
      </c>
      <c r="E121" s="213">
        <v>106</v>
      </c>
      <c r="F121" s="62"/>
      <c r="G121" s="63"/>
      <c r="H121" s="63"/>
      <c r="I121" s="64"/>
      <c r="J121" s="63"/>
      <c r="K121" s="444"/>
      <c r="L121" s="8" t="str">
        <f t="shared" si="1"/>
        <v/>
      </c>
      <c r="M121" s="65"/>
    </row>
    <row r="122" spans="1:13" x14ac:dyDescent="0.25">
      <c r="A122" s="211" t="str">
        <f>IF('P1; Organize the PT'!B138="","",'P1; Organize the PT'!B138)</f>
        <v/>
      </c>
      <c r="B122" s="14" t="str">
        <f>IF('P1; Organize the PT'!C138="","",'P1; Organize the PT'!C138)</f>
        <v/>
      </c>
      <c r="C122" s="447" t="str">
        <f>IF('P1; Organize the PT'!D138="","",'P1; Organize the PT'!D138)</f>
        <v/>
      </c>
      <c r="D122" s="211" t="str">
        <f>IF('P1; Organize the PT'!F138="","",'P1; Organize the PT'!F138)</f>
        <v/>
      </c>
      <c r="E122" s="213">
        <v>107</v>
      </c>
      <c r="F122" s="62"/>
      <c r="G122" s="63"/>
      <c r="H122" s="63"/>
      <c r="I122" s="64"/>
      <c r="J122" s="63"/>
      <c r="K122" s="444"/>
      <c r="L122" s="8" t="str">
        <f t="shared" si="1"/>
        <v/>
      </c>
      <c r="M122" s="65"/>
    </row>
    <row r="123" spans="1:13" x14ac:dyDescent="0.25">
      <c r="A123" s="211" t="str">
        <f>IF('P1; Organize the PT'!B139="","",'P1; Organize the PT'!B139)</f>
        <v/>
      </c>
      <c r="B123" s="14" t="str">
        <f>IF('P1; Organize the PT'!C139="","",'P1; Organize the PT'!C139)</f>
        <v/>
      </c>
      <c r="C123" s="447" t="str">
        <f>IF('P1; Organize the PT'!D139="","",'P1; Organize the PT'!D139)</f>
        <v/>
      </c>
      <c r="D123" s="211" t="str">
        <f>IF('P1; Organize the PT'!F139="","",'P1; Organize the PT'!F139)</f>
        <v/>
      </c>
      <c r="E123" s="213">
        <v>108</v>
      </c>
      <c r="F123" s="62"/>
      <c r="G123" s="63"/>
      <c r="H123" s="63"/>
      <c r="I123" s="64"/>
      <c r="J123" s="63"/>
      <c r="K123" s="444"/>
      <c r="L123" s="8" t="str">
        <f t="shared" si="1"/>
        <v/>
      </c>
      <c r="M123" s="65"/>
    </row>
    <row r="124" spans="1:13" x14ac:dyDescent="0.25">
      <c r="A124" s="211" t="str">
        <f>IF('P1; Organize the PT'!B140="","",'P1; Organize the PT'!B140)</f>
        <v/>
      </c>
      <c r="B124" s="14" t="str">
        <f>IF('P1; Organize the PT'!C140="","",'P1; Organize the PT'!C140)</f>
        <v/>
      </c>
      <c r="C124" s="447" t="str">
        <f>IF('P1; Organize the PT'!D140="","",'P1; Organize the PT'!D140)</f>
        <v/>
      </c>
      <c r="D124" s="211" t="str">
        <f>IF('P1; Organize the PT'!F140="","",'P1; Organize the PT'!F140)</f>
        <v/>
      </c>
      <c r="E124" s="213">
        <v>109</v>
      </c>
      <c r="F124" s="62"/>
      <c r="G124" s="63"/>
      <c r="H124" s="63"/>
      <c r="I124" s="64"/>
      <c r="J124" s="63"/>
      <c r="K124" s="444"/>
      <c r="L124" s="8" t="str">
        <f t="shared" si="1"/>
        <v/>
      </c>
      <c r="M124" s="65"/>
    </row>
    <row r="125" spans="1:13" x14ac:dyDescent="0.25">
      <c r="A125" s="211" t="str">
        <f>IF('P1; Organize the PT'!B141="","",'P1; Organize the PT'!B141)</f>
        <v/>
      </c>
      <c r="B125" s="14" t="str">
        <f>IF('P1; Organize the PT'!C141="","",'P1; Organize the PT'!C141)</f>
        <v/>
      </c>
      <c r="C125" s="447" t="str">
        <f>IF('P1; Organize the PT'!D141="","",'P1; Organize the PT'!D141)</f>
        <v/>
      </c>
      <c r="D125" s="211" t="str">
        <f>IF('P1; Organize the PT'!F141="","",'P1; Organize the PT'!F141)</f>
        <v/>
      </c>
      <c r="E125" s="213">
        <v>110</v>
      </c>
      <c r="F125" s="62"/>
      <c r="G125" s="63"/>
      <c r="H125" s="63"/>
      <c r="I125" s="64"/>
      <c r="J125" s="63"/>
      <c r="K125" s="444"/>
      <c r="L125" s="8" t="str">
        <f t="shared" si="1"/>
        <v/>
      </c>
      <c r="M125" s="65"/>
    </row>
    <row r="126" spans="1:13" x14ac:dyDescent="0.25">
      <c r="A126" s="211" t="str">
        <f>IF('P1; Organize the PT'!B142="","",'P1; Organize the PT'!B142)</f>
        <v/>
      </c>
      <c r="B126" s="14" t="str">
        <f>IF('P1; Organize the PT'!C142="","",'P1; Organize the PT'!C142)</f>
        <v/>
      </c>
      <c r="C126" s="447" t="str">
        <f>IF('P1; Organize the PT'!D142="","",'P1; Organize the PT'!D142)</f>
        <v/>
      </c>
      <c r="D126" s="211" t="str">
        <f>IF('P1; Organize the PT'!F142="","",'P1; Organize the PT'!F142)</f>
        <v/>
      </c>
      <c r="E126" s="213">
        <v>111</v>
      </c>
      <c r="F126" s="62"/>
      <c r="G126" s="63"/>
      <c r="H126" s="63"/>
      <c r="I126" s="64"/>
      <c r="J126" s="63"/>
      <c r="K126" s="444"/>
      <c r="L126" s="8" t="str">
        <f t="shared" si="1"/>
        <v/>
      </c>
      <c r="M126" s="65"/>
    </row>
    <row r="127" spans="1:13" x14ac:dyDescent="0.25">
      <c r="A127" s="211" t="str">
        <f>IF('P1; Organize the PT'!B143="","",'P1; Organize the PT'!B143)</f>
        <v/>
      </c>
      <c r="B127" s="14" t="str">
        <f>IF('P1; Organize the PT'!C143="","",'P1; Organize the PT'!C143)</f>
        <v/>
      </c>
      <c r="C127" s="447" t="str">
        <f>IF('P1; Organize the PT'!D143="","",'P1; Organize the PT'!D143)</f>
        <v/>
      </c>
      <c r="D127" s="211" t="str">
        <f>IF('P1; Organize the PT'!F143="","",'P1; Organize the PT'!F143)</f>
        <v/>
      </c>
      <c r="E127" s="213">
        <v>112</v>
      </c>
      <c r="F127" s="62"/>
      <c r="G127" s="63"/>
      <c r="H127" s="63"/>
      <c r="I127" s="64"/>
      <c r="J127" s="63"/>
      <c r="K127" s="444"/>
      <c r="L127" s="8" t="str">
        <f t="shared" si="1"/>
        <v/>
      </c>
      <c r="M127" s="65"/>
    </row>
    <row r="128" spans="1:13" x14ac:dyDescent="0.25">
      <c r="A128" s="211" t="str">
        <f>IF('P1; Organize the PT'!B144="","",'P1; Organize the PT'!B144)</f>
        <v/>
      </c>
      <c r="B128" s="14" t="str">
        <f>IF('P1; Organize the PT'!C144="","",'P1; Organize the PT'!C144)</f>
        <v/>
      </c>
      <c r="C128" s="447" t="str">
        <f>IF('P1; Organize the PT'!D144="","",'P1; Organize the PT'!D144)</f>
        <v/>
      </c>
      <c r="D128" s="211" t="str">
        <f>IF('P1; Organize the PT'!F144="","",'P1; Organize the PT'!F144)</f>
        <v/>
      </c>
      <c r="E128" s="213">
        <v>113</v>
      </c>
      <c r="F128" s="62"/>
      <c r="G128" s="63"/>
      <c r="H128" s="63"/>
      <c r="I128" s="64"/>
      <c r="J128" s="63"/>
      <c r="K128" s="444"/>
      <c r="L128" s="8" t="str">
        <f t="shared" si="1"/>
        <v/>
      </c>
      <c r="M128" s="65"/>
    </row>
    <row r="129" spans="1:13" x14ac:dyDescent="0.25">
      <c r="A129" s="211" t="str">
        <f>IF('P1; Organize the PT'!B145="","",'P1; Organize the PT'!B145)</f>
        <v/>
      </c>
      <c r="B129" s="14" t="str">
        <f>IF('P1; Organize the PT'!C145="","",'P1; Organize the PT'!C145)</f>
        <v/>
      </c>
      <c r="C129" s="447" t="str">
        <f>IF('P1; Organize the PT'!D145="","",'P1; Organize the PT'!D145)</f>
        <v/>
      </c>
      <c r="D129" s="211" t="str">
        <f>IF('P1; Organize the PT'!F145="","",'P1; Organize the PT'!F145)</f>
        <v/>
      </c>
      <c r="E129" s="213">
        <v>114</v>
      </c>
      <c r="F129" s="62"/>
      <c r="G129" s="63"/>
      <c r="H129" s="63"/>
      <c r="I129" s="64"/>
      <c r="J129" s="63"/>
      <c r="K129" s="444"/>
      <c r="L129" s="8" t="str">
        <f t="shared" si="1"/>
        <v/>
      </c>
      <c r="M129" s="65"/>
    </row>
    <row r="130" spans="1:13" x14ac:dyDescent="0.25">
      <c r="A130" s="211" t="str">
        <f>IF('P1; Organize the PT'!B146="","",'P1; Organize the PT'!B146)</f>
        <v/>
      </c>
      <c r="B130" s="14" t="str">
        <f>IF('P1; Organize the PT'!C146="","",'P1; Organize the PT'!C146)</f>
        <v/>
      </c>
      <c r="C130" s="447" t="str">
        <f>IF('P1; Organize the PT'!D146="","",'P1; Organize the PT'!D146)</f>
        <v/>
      </c>
      <c r="D130" s="211" t="str">
        <f>IF('P1; Organize the PT'!F146="","",'P1; Organize the PT'!F146)</f>
        <v/>
      </c>
      <c r="E130" s="213">
        <v>115</v>
      </c>
      <c r="F130" s="62"/>
      <c r="G130" s="63"/>
      <c r="H130" s="63"/>
      <c r="I130" s="64"/>
      <c r="J130" s="63"/>
      <c r="K130" s="444"/>
      <c r="L130" s="8" t="str">
        <f t="shared" si="1"/>
        <v/>
      </c>
      <c r="M130" s="65"/>
    </row>
    <row r="131" spans="1:13" x14ac:dyDescent="0.25">
      <c r="A131" s="211" t="str">
        <f>IF('P1; Organize the PT'!B147="","",'P1; Organize the PT'!B147)</f>
        <v/>
      </c>
      <c r="B131" s="14" t="str">
        <f>IF('P1; Organize the PT'!C147="","",'P1; Organize the PT'!C147)</f>
        <v/>
      </c>
      <c r="C131" s="447" t="str">
        <f>IF('P1; Organize the PT'!D147="","",'P1; Organize the PT'!D147)</f>
        <v/>
      </c>
      <c r="D131" s="211" t="str">
        <f>IF('P1; Organize the PT'!F147="","",'P1; Organize the PT'!F147)</f>
        <v/>
      </c>
      <c r="E131" s="213">
        <v>116</v>
      </c>
      <c r="F131" s="62"/>
      <c r="G131" s="63"/>
      <c r="H131" s="63"/>
      <c r="I131" s="64"/>
      <c r="J131" s="63"/>
      <c r="K131" s="444"/>
      <c r="L131" s="8" t="str">
        <f t="shared" si="1"/>
        <v/>
      </c>
      <c r="M131" s="65"/>
    </row>
    <row r="132" spans="1:13" x14ac:dyDescent="0.25">
      <c r="A132" s="211" t="str">
        <f>IF('P1; Organize the PT'!B148="","",'P1; Organize the PT'!B148)</f>
        <v/>
      </c>
      <c r="B132" s="14" t="str">
        <f>IF('P1; Organize the PT'!C148="","",'P1; Organize the PT'!C148)</f>
        <v/>
      </c>
      <c r="C132" s="447" t="str">
        <f>IF('P1; Organize the PT'!D148="","",'P1; Organize the PT'!D148)</f>
        <v/>
      </c>
      <c r="D132" s="211" t="str">
        <f>IF('P1; Organize the PT'!F148="","",'P1; Organize the PT'!F148)</f>
        <v/>
      </c>
      <c r="E132" s="213">
        <v>117</v>
      </c>
      <c r="F132" s="62"/>
      <c r="G132" s="63"/>
      <c r="H132" s="63"/>
      <c r="I132" s="64"/>
      <c r="J132" s="63"/>
      <c r="K132" s="444"/>
      <c r="L132" s="8" t="str">
        <f t="shared" si="1"/>
        <v/>
      </c>
      <c r="M132" s="65"/>
    </row>
    <row r="133" spans="1:13" x14ac:dyDescent="0.25">
      <c r="A133" s="211" t="str">
        <f>IF('P1; Organize the PT'!B149="","",'P1; Organize the PT'!B149)</f>
        <v/>
      </c>
      <c r="B133" s="14" t="str">
        <f>IF('P1; Organize the PT'!C149="","",'P1; Organize the PT'!C149)</f>
        <v/>
      </c>
      <c r="C133" s="447" t="str">
        <f>IF('P1; Organize the PT'!D149="","",'P1; Organize the PT'!D149)</f>
        <v/>
      </c>
      <c r="D133" s="211" t="str">
        <f>IF('P1; Organize the PT'!F149="","",'P1; Organize the PT'!F149)</f>
        <v/>
      </c>
      <c r="E133" s="213">
        <v>118</v>
      </c>
      <c r="F133" s="62"/>
      <c r="G133" s="63"/>
      <c r="H133" s="63"/>
      <c r="I133" s="64"/>
      <c r="J133" s="63"/>
      <c r="K133" s="444"/>
      <c r="L133" s="8" t="str">
        <f t="shared" si="1"/>
        <v/>
      </c>
      <c r="M133" s="65"/>
    </row>
    <row r="134" spans="1:13" x14ac:dyDescent="0.25">
      <c r="A134" s="211" t="str">
        <f>IF('P1; Organize the PT'!B150="","",'P1; Organize the PT'!B150)</f>
        <v/>
      </c>
      <c r="B134" s="14" t="str">
        <f>IF('P1; Organize the PT'!C150="","",'P1; Organize the PT'!C150)</f>
        <v/>
      </c>
      <c r="C134" s="447" t="str">
        <f>IF('P1; Organize the PT'!D150="","",'P1; Organize the PT'!D150)</f>
        <v/>
      </c>
      <c r="D134" s="211" t="str">
        <f>IF('P1; Organize the PT'!F150="","",'P1; Organize the PT'!F150)</f>
        <v/>
      </c>
      <c r="E134" s="213">
        <v>119</v>
      </c>
      <c r="F134" s="62"/>
      <c r="G134" s="63"/>
      <c r="H134" s="63"/>
      <c r="I134" s="64"/>
      <c r="J134" s="63"/>
      <c r="K134" s="444"/>
      <c r="L134" s="8" t="str">
        <f t="shared" si="1"/>
        <v/>
      </c>
      <c r="M134" s="65"/>
    </row>
    <row r="135" spans="1:13" x14ac:dyDescent="0.25">
      <c r="A135" s="211" t="str">
        <f>IF('P1; Organize the PT'!B151="","",'P1; Organize the PT'!B151)</f>
        <v/>
      </c>
      <c r="B135" s="14" t="str">
        <f>IF('P1; Organize the PT'!C151="","",'P1; Organize the PT'!C151)</f>
        <v/>
      </c>
      <c r="C135" s="447" t="str">
        <f>IF('P1; Organize the PT'!D151="","",'P1; Organize the PT'!D151)</f>
        <v/>
      </c>
      <c r="D135" s="211" t="str">
        <f>IF('P1; Organize the PT'!F151="","",'P1; Organize the PT'!F151)</f>
        <v/>
      </c>
      <c r="E135" s="213">
        <v>120</v>
      </c>
      <c r="F135" s="62"/>
      <c r="G135" s="63"/>
      <c r="H135" s="63"/>
      <c r="I135" s="64"/>
      <c r="J135" s="63"/>
      <c r="K135" s="444"/>
      <c r="L135" s="8" t="str">
        <f t="shared" si="1"/>
        <v/>
      </c>
      <c r="M135" s="65"/>
    </row>
    <row r="136" spans="1:13" x14ac:dyDescent="0.25">
      <c r="A136" s="211" t="str">
        <f>IF('P1; Organize the PT'!B152="","",'P1; Organize the PT'!B152)</f>
        <v/>
      </c>
      <c r="B136" s="14" t="str">
        <f>IF('P1; Organize the PT'!C152="","",'P1; Organize the PT'!C152)</f>
        <v/>
      </c>
      <c r="C136" s="447" t="str">
        <f>IF('P1; Organize the PT'!D152="","",'P1; Organize the PT'!D152)</f>
        <v/>
      </c>
      <c r="D136" s="211" t="str">
        <f>IF('P1; Organize the PT'!F152="","",'P1; Organize the PT'!F152)</f>
        <v/>
      </c>
      <c r="E136" s="213">
        <v>121</v>
      </c>
      <c r="F136" s="62"/>
      <c r="G136" s="63"/>
      <c r="H136" s="63"/>
      <c r="I136" s="64"/>
      <c r="J136" s="63"/>
      <c r="K136" s="444"/>
      <c r="L136" s="8" t="str">
        <f t="shared" si="1"/>
        <v/>
      </c>
      <c r="M136" s="65"/>
    </row>
    <row r="137" spans="1:13" x14ac:dyDescent="0.25">
      <c r="A137" s="211" t="str">
        <f>IF('P1; Organize the PT'!B153="","",'P1; Organize the PT'!B153)</f>
        <v/>
      </c>
      <c r="B137" s="14" t="str">
        <f>IF('P1; Organize the PT'!C153="","",'P1; Organize the PT'!C153)</f>
        <v/>
      </c>
      <c r="C137" s="447" t="str">
        <f>IF('P1; Organize the PT'!D153="","",'P1; Organize the PT'!D153)</f>
        <v/>
      </c>
      <c r="D137" s="211" t="str">
        <f>IF('P1; Organize the PT'!F153="","",'P1; Organize the PT'!F153)</f>
        <v/>
      </c>
      <c r="E137" s="213">
        <v>122</v>
      </c>
      <c r="F137" s="62"/>
      <c r="G137" s="63"/>
      <c r="H137" s="63"/>
      <c r="I137" s="64"/>
      <c r="J137" s="63"/>
      <c r="K137" s="444"/>
      <c r="L137" s="8" t="str">
        <f t="shared" si="1"/>
        <v/>
      </c>
      <c r="M137" s="65"/>
    </row>
    <row r="138" spans="1:13" x14ac:dyDescent="0.25">
      <c r="A138" s="211" t="str">
        <f>IF('P1; Organize the PT'!B154="","",'P1; Organize the PT'!B154)</f>
        <v/>
      </c>
      <c r="B138" s="14" t="str">
        <f>IF('P1; Organize the PT'!C154="","",'P1; Organize the PT'!C154)</f>
        <v/>
      </c>
      <c r="C138" s="447" t="str">
        <f>IF('P1; Organize the PT'!D154="","",'P1; Organize the PT'!D154)</f>
        <v/>
      </c>
      <c r="D138" s="211" t="str">
        <f>IF('P1; Organize the PT'!F154="","",'P1; Organize the PT'!F154)</f>
        <v/>
      </c>
      <c r="E138" s="213">
        <v>123</v>
      </c>
      <c r="F138" s="62"/>
      <c r="G138" s="63"/>
      <c r="H138" s="63"/>
      <c r="I138" s="64"/>
      <c r="J138" s="63"/>
      <c r="K138" s="444"/>
      <c r="L138" s="8" t="str">
        <f t="shared" si="1"/>
        <v/>
      </c>
      <c r="M138" s="65"/>
    </row>
    <row r="139" spans="1:13" x14ac:dyDescent="0.25">
      <c r="A139" s="211" t="str">
        <f>IF('P1; Organize the PT'!B155="","",'P1; Organize the PT'!B155)</f>
        <v/>
      </c>
      <c r="B139" s="14" t="str">
        <f>IF('P1; Organize the PT'!C155="","",'P1; Organize the PT'!C155)</f>
        <v/>
      </c>
      <c r="C139" s="447" t="str">
        <f>IF('P1; Organize the PT'!D155="","",'P1; Organize the PT'!D155)</f>
        <v/>
      </c>
      <c r="D139" s="211" t="str">
        <f>IF('P1; Organize the PT'!F155="","",'P1; Organize the PT'!F155)</f>
        <v/>
      </c>
      <c r="E139" s="213">
        <v>124</v>
      </c>
      <c r="F139" s="62"/>
      <c r="G139" s="63"/>
      <c r="H139" s="63"/>
      <c r="I139" s="64"/>
      <c r="J139" s="63"/>
      <c r="K139" s="444"/>
      <c r="L139" s="8" t="str">
        <f t="shared" si="1"/>
        <v/>
      </c>
      <c r="M139" s="65"/>
    </row>
    <row r="140" spans="1:13" x14ac:dyDescent="0.25">
      <c r="A140" s="211" t="str">
        <f>IF('P1; Organize the PT'!B156="","",'P1; Organize the PT'!B156)</f>
        <v/>
      </c>
      <c r="B140" s="14" t="str">
        <f>IF('P1; Organize the PT'!C156="","",'P1; Organize the PT'!C156)</f>
        <v/>
      </c>
      <c r="C140" s="447" t="str">
        <f>IF('P1; Organize the PT'!D156="","",'P1; Organize the PT'!D156)</f>
        <v/>
      </c>
      <c r="D140" s="211" t="str">
        <f>IF('P1; Organize the PT'!F156="","",'P1; Organize the PT'!F156)</f>
        <v/>
      </c>
      <c r="E140" s="213">
        <v>125</v>
      </c>
      <c r="F140" s="62"/>
      <c r="G140" s="63"/>
      <c r="H140" s="63"/>
      <c r="I140" s="64"/>
      <c r="J140" s="63"/>
      <c r="K140" s="444"/>
      <c r="L140" s="8" t="str">
        <f t="shared" si="1"/>
        <v/>
      </c>
      <c r="M140" s="65"/>
    </row>
    <row r="141" spans="1:13" x14ac:dyDescent="0.25">
      <c r="A141" s="211" t="str">
        <f>IF('P1; Organize the PT'!B157="","",'P1; Organize the PT'!B157)</f>
        <v/>
      </c>
      <c r="B141" s="14" t="str">
        <f>IF('P1; Organize the PT'!C157="","",'P1; Organize the PT'!C157)</f>
        <v/>
      </c>
      <c r="C141" s="447" t="str">
        <f>IF('P1; Organize the PT'!D157="","",'P1; Organize the PT'!D157)</f>
        <v/>
      </c>
      <c r="D141" s="211" t="str">
        <f>IF('P1; Organize the PT'!F157="","",'P1; Organize the PT'!F157)</f>
        <v/>
      </c>
      <c r="E141" s="213">
        <v>126</v>
      </c>
      <c r="F141" s="62"/>
      <c r="G141" s="63"/>
      <c r="H141" s="63"/>
      <c r="I141" s="64"/>
      <c r="J141" s="63"/>
      <c r="K141" s="444"/>
      <c r="L141" s="8" t="str">
        <f t="shared" si="1"/>
        <v/>
      </c>
      <c r="M141" s="65"/>
    </row>
    <row r="142" spans="1:13" x14ac:dyDescent="0.25">
      <c r="A142" s="211" t="str">
        <f>IF('P1; Organize the PT'!B158="","",'P1; Organize the PT'!B158)</f>
        <v/>
      </c>
      <c r="B142" s="14" t="str">
        <f>IF('P1; Organize the PT'!C158="","",'P1; Organize the PT'!C158)</f>
        <v/>
      </c>
      <c r="C142" s="447" t="str">
        <f>IF('P1; Organize the PT'!D158="","",'P1; Organize the PT'!D158)</f>
        <v/>
      </c>
      <c r="D142" s="211" t="str">
        <f>IF('P1; Organize the PT'!F158="","",'P1; Organize the PT'!F158)</f>
        <v/>
      </c>
      <c r="E142" s="213">
        <v>127</v>
      </c>
      <c r="F142" s="62"/>
      <c r="G142" s="63"/>
      <c r="H142" s="63"/>
      <c r="I142" s="64"/>
      <c r="J142" s="63"/>
      <c r="K142" s="444"/>
      <c r="L142" s="8" t="str">
        <f t="shared" si="1"/>
        <v/>
      </c>
      <c r="M142" s="65"/>
    </row>
    <row r="143" spans="1:13" x14ac:dyDescent="0.25">
      <c r="A143" s="211" t="str">
        <f>IF('P1; Organize the PT'!B159="","",'P1; Organize the PT'!B159)</f>
        <v/>
      </c>
      <c r="B143" s="14" t="str">
        <f>IF('P1; Organize the PT'!C159="","",'P1; Organize the PT'!C159)</f>
        <v/>
      </c>
      <c r="C143" s="447" t="str">
        <f>IF('P1; Organize the PT'!D159="","",'P1; Organize the PT'!D159)</f>
        <v/>
      </c>
      <c r="D143" s="211" t="str">
        <f>IF('P1; Organize the PT'!F159="","",'P1; Organize the PT'!F159)</f>
        <v/>
      </c>
      <c r="E143" s="213">
        <v>128</v>
      </c>
      <c r="F143" s="62"/>
      <c r="G143" s="63"/>
      <c r="H143" s="63"/>
      <c r="I143" s="64"/>
      <c r="J143" s="63"/>
      <c r="K143" s="444"/>
      <c r="L143" s="8" t="str">
        <f t="shared" si="1"/>
        <v/>
      </c>
      <c r="M143" s="65"/>
    </row>
    <row r="144" spans="1:13" x14ac:dyDescent="0.25">
      <c r="A144" s="211" t="str">
        <f>IF('P1; Organize the PT'!B160="","",'P1; Organize the PT'!B160)</f>
        <v/>
      </c>
      <c r="B144" s="14" t="str">
        <f>IF('P1; Organize the PT'!C160="","",'P1; Organize the PT'!C160)</f>
        <v/>
      </c>
      <c r="C144" s="447" t="str">
        <f>IF('P1; Organize the PT'!D160="","",'P1; Organize the PT'!D160)</f>
        <v/>
      </c>
      <c r="D144" s="211" t="str">
        <f>IF('P1; Organize the PT'!F160="","",'P1; Organize the PT'!F160)</f>
        <v/>
      </c>
      <c r="E144" s="213">
        <v>129</v>
      </c>
      <c r="F144" s="62"/>
      <c r="G144" s="63"/>
      <c r="H144" s="63"/>
      <c r="I144" s="64"/>
      <c r="J144" s="63"/>
      <c r="K144" s="444"/>
      <c r="L144" s="8" t="str">
        <f t="shared" si="1"/>
        <v/>
      </c>
      <c r="M144" s="65"/>
    </row>
    <row r="145" spans="1:13" x14ac:dyDescent="0.25">
      <c r="A145" s="211" t="str">
        <f>IF('P1; Organize the PT'!B161="","",'P1; Organize the PT'!B161)</f>
        <v/>
      </c>
      <c r="B145" s="14" t="str">
        <f>IF('P1; Organize the PT'!C161="","",'P1; Organize the PT'!C161)</f>
        <v/>
      </c>
      <c r="C145" s="447" t="str">
        <f>IF('P1; Organize the PT'!D161="","",'P1; Organize the PT'!D161)</f>
        <v/>
      </c>
      <c r="D145" s="211" t="str">
        <f>IF('P1; Organize the PT'!F161="","",'P1; Organize the PT'!F161)</f>
        <v/>
      </c>
      <c r="E145" s="213">
        <v>130</v>
      </c>
      <c r="F145" s="62"/>
      <c r="G145" s="63"/>
      <c r="H145" s="63"/>
      <c r="I145" s="64"/>
      <c r="J145" s="63"/>
      <c r="K145" s="444"/>
      <c r="L145" s="8" t="str">
        <f t="shared" ref="L145:L165" si="2">IF(J145="","",J145-G145)</f>
        <v/>
      </c>
      <c r="M145" s="65"/>
    </row>
    <row r="146" spans="1:13" x14ac:dyDescent="0.25">
      <c r="A146" s="211" t="str">
        <f>IF('P1; Organize the PT'!B162="","",'P1; Organize the PT'!B162)</f>
        <v/>
      </c>
      <c r="B146" s="14" t="str">
        <f>IF('P1; Organize the PT'!C162="","",'P1; Organize the PT'!C162)</f>
        <v/>
      </c>
      <c r="C146" s="447" t="str">
        <f>IF('P1; Organize the PT'!D162="","",'P1; Organize the PT'!D162)</f>
        <v/>
      </c>
      <c r="D146" s="211" t="str">
        <f>IF('P1; Organize the PT'!F162="","",'P1; Organize the PT'!F162)</f>
        <v/>
      </c>
      <c r="E146" s="213">
        <v>131</v>
      </c>
      <c r="F146" s="62"/>
      <c r="G146" s="63"/>
      <c r="H146" s="63"/>
      <c r="I146" s="64"/>
      <c r="J146" s="63"/>
      <c r="K146" s="444"/>
      <c r="L146" s="8" t="str">
        <f t="shared" si="2"/>
        <v/>
      </c>
      <c r="M146" s="65"/>
    </row>
    <row r="147" spans="1:13" x14ac:dyDescent="0.25">
      <c r="A147" s="211" t="str">
        <f>IF('P1; Organize the PT'!B163="","",'P1; Organize the PT'!B163)</f>
        <v/>
      </c>
      <c r="B147" s="14" t="str">
        <f>IF('P1; Organize the PT'!C163="","",'P1; Organize the PT'!C163)</f>
        <v/>
      </c>
      <c r="C147" s="447" t="str">
        <f>IF('P1; Organize the PT'!D163="","",'P1; Organize the PT'!D163)</f>
        <v/>
      </c>
      <c r="D147" s="211" t="str">
        <f>IF('P1; Organize the PT'!F163="","",'P1; Organize the PT'!F163)</f>
        <v/>
      </c>
      <c r="E147" s="213">
        <v>132</v>
      </c>
      <c r="F147" s="62"/>
      <c r="G147" s="63"/>
      <c r="H147" s="63"/>
      <c r="I147" s="64"/>
      <c r="J147" s="63"/>
      <c r="K147" s="444"/>
      <c r="L147" s="8" t="str">
        <f t="shared" si="2"/>
        <v/>
      </c>
      <c r="M147" s="65"/>
    </row>
    <row r="148" spans="1:13" x14ac:dyDescent="0.25">
      <c r="A148" s="211" t="str">
        <f>IF('P1; Organize the PT'!B164="","",'P1; Organize the PT'!B164)</f>
        <v/>
      </c>
      <c r="B148" s="14" t="str">
        <f>IF('P1; Organize the PT'!C164="","",'P1; Organize the PT'!C164)</f>
        <v/>
      </c>
      <c r="C148" s="447" t="str">
        <f>IF('P1; Organize the PT'!D164="","",'P1; Organize the PT'!D164)</f>
        <v/>
      </c>
      <c r="D148" s="211" t="str">
        <f>IF('P1; Organize the PT'!F164="","",'P1; Organize the PT'!F164)</f>
        <v/>
      </c>
      <c r="E148" s="213">
        <v>133</v>
      </c>
      <c r="F148" s="62"/>
      <c r="G148" s="63"/>
      <c r="H148" s="63"/>
      <c r="I148" s="64"/>
      <c r="J148" s="63"/>
      <c r="K148" s="444"/>
      <c r="L148" s="8" t="str">
        <f t="shared" si="2"/>
        <v/>
      </c>
      <c r="M148" s="65"/>
    </row>
    <row r="149" spans="1:13" x14ac:dyDescent="0.25">
      <c r="A149" s="211" t="str">
        <f>IF('P1; Organize the PT'!B165="","",'P1; Organize the PT'!B165)</f>
        <v/>
      </c>
      <c r="B149" s="14" t="str">
        <f>IF('P1; Organize the PT'!C165="","",'P1; Organize the PT'!C165)</f>
        <v/>
      </c>
      <c r="C149" s="447" t="str">
        <f>IF('P1; Organize the PT'!D165="","",'P1; Organize the PT'!D165)</f>
        <v/>
      </c>
      <c r="D149" s="211" t="str">
        <f>IF('P1; Organize the PT'!F165="","",'P1; Organize the PT'!F165)</f>
        <v/>
      </c>
      <c r="E149" s="213">
        <v>134</v>
      </c>
      <c r="F149" s="62"/>
      <c r="G149" s="63"/>
      <c r="H149" s="63"/>
      <c r="I149" s="64"/>
      <c r="J149" s="63"/>
      <c r="K149" s="444"/>
      <c r="L149" s="8" t="str">
        <f t="shared" si="2"/>
        <v/>
      </c>
      <c r="M149" s="65"/>
    </row>
    <row r="150" spans="1:13" x14ac:dyDescent="0.25">
      <c r="A150" s="211" t="str">
        <f>IF('P1; Organize the PT'!B166="","",'P1; Organize the PT'!B166)</f>
        <v/>
      </c>
      <c r="B150" s="14" t="str">
        <f>IF('P1; Organize the PT'!C166="","",'P1; Organize the PT'!C166)</f>
        <v/>
      </c>
      <c r="C150" s="447" t="str">
        <f>IF('P1; Organize the PT'!D166="","",'P1; Organize the PT'!D166)</f>
        <v/>
      </c>
      <c r="D150" s="211" t="str">
        <f>IF('P1; Organize the PT'!F166="","",'P1; Organize the PT'!F166)</f>
        <v/>
      </c>
      <c r="E150" s="213">
        <v>135</v>
      </c>
      <c r="F150" s="62"/>
      <c r="G150" s="63"/>
      <c r="H150" s="63"/>
      <c r="I150" s="64"/>
      <c r="J150" s="63"/>
      <c r="K150" s="444"/>
      <c r="L150" s="8" t="str">
        <f t="shared" si="2"/>
        <v/>
      </c>
      <c r="M150" s="65"/>
    </row>
    <row r="151" spans="1:13" x14ac:dyDescent="0.25">
      <c r="A151" s="211" t="str">
        <f>IF('P1; Organize the PT'!B167="","",'P1; Organize the PT'!B167)</f>
        <v/>
      </c>
      <c r="B151" s="14" t="str">
        <f>IF('P1; Organize the PT'!C167="","",'P1; Organize the PT'!C167)</f>
        <v/>
      </c>
      <c r="C151" s="447" t="str">
        <f>IF('P1; Organize the PT'!D167="","",'P1; Organize the PT'!D167)</f>
        <v/>
      </c>
      <c r="D151" s="211" t="str">
        <f>IF('P1; Organize the PT'!F167="","",'P1; Organize the PT'!F167)</f>
        <v/>
      </c>
      <c r="E151" s="213">
        <v>136</v>
      </c>
      <c r="F151" s="62"/>
      <c r="G151" s="63"/>
      <c r="H151" s="63"/>
      <c r="I151" s="64"/>
      <c r="J151" s="63"/>
      <c r="K151" s="444"/>
      <c r="L151" s="8" t="str">
        <f t="shared" si="2"/>
        <v/>
      </c>
      <c r="M151" s="65"/>
    </row>
    <row r="152" spans="1:13" x14ac:dyDescent="0.25">
      <c r="A152" s="211" t="str">
        <f>IF('P1; Organize the PT'!B168="","",'P1; Organize the PT'!B168)</f>
        <v/>
      </c>
      <c r="B152" s="14" t="str">
        <f>IF('P1; Organize the PT'!C168="","",'P1; Organize the PT'!C168)</f>
        <v/>
      </c>
      <c r="C152" s="447" t="str">
        <f>IF('P1; Organize the PT'!D168="","",'P1; Organize the PT'!D168)</f>
        <v/>
      </c>
      <c r="D152" s="211" t="str">
        <f>IF('P1; Organize the PT'!F168="","",'P1; Organize the PT'!F168)</f>
        <v/>
      </c>
      <c r="E152" s="213">
        <v>137</v>
      </c>
      <c r="F152" s="62"/>
      <c r="G152" s="63"/>
      <c r="H152" s="63"/>
      <c r="I152" s="64"/>
      <c r="J152" s="63"/>
      <c r="K152" s="444"/>
      <c r="L152" s="8" t="str">
        <f t="shared" si="2"/>
        <v/>
      </c>
      <c r="M152" s="65"/>
    </row>
    <row r="153" spans="1:13" x14ac:dyDescent="0.25">
      <c r="A153" s="211" t="str">
        <f>IF('P1; Organize the PT'!B169="","",'P1; Organize the PT'!B169)</f>
        <v/>
      </c>
      <c r="B153" s="14" t="str">
        <f>IF('P1; Organize the PT'!C169="","",'P1; Organize the PT'!C169)</f>
        <v/>
      </c>
      <c r="C153" s="447" t="str">
        <f>IF('P1; Organize the PT'!D169="","",'P1; Organize the PT'!D169)</f>
        <v/>
      </c>
      <c r="D153" s="211" t="str">
        <f>IF('P1; Organize the PT'!F169="","",'P1; Organize the PT'!F169)</f>
        <v/>
      </c>
      <c r="E153" s="213">
        <v>138</v>
      </c>
      <c r="F153" s="62"/>
      <c r="G153" s="63"/>
      <c r="H153" s="63"/>
      <c r="I153" s="64"/>
      <c r="J153" s="63"/>
      <c r="K153" s="444"/>
      <c r="L153" s="8" t="str">
        <f t="shared" si="2"/>
        <v/>
      </c>
      <c r="M153" s="65"/>
    </row>
    <row r="154" spans="1:13" x14ac:dyDescent="0.25">
      <c r="A154" s="211" t="str">
        <f>IF('P1; Organize the PT'!B170="","",'P1; Organize the PT'!B170)</f>
        <v/>
      </c>
      <c r="B154" s="14" t="str">
        <f>IF('P1; Organize the PT'!C170="","",'P1; Organize the PT'!C170)</f>
        <v/>
      </c>
      <c r="C154" s="447" t="str">
        <f>IF('P1; Organize the PT'!D170="","",'P1; Organize the PT'!D170)</f>
        <v/>
      </c>
      <c r="D154" s="211" t="str">
        <f>IF('P1; Organize the PT'!F170="","",'P1; Organize the PT'!F170)</f>
        <v/>
      </c>
      <c r="E154" s="213">
        <v>139</v>
      </c>
      <c r="F154" s="62"/>
      <c r="G154" s="63"/>
      <c r="H154" s="63"/>
      <c r="I154" s="64"/>
      <c r="J154" s="63"/>
      <c r="K154" s="444"/>
      <c r="L154" s="8" t="str">
        <f t="shared" si="2"/>
        <v/>
      </c>
      <c r="M154" s="65"/>
    </row>
    <row r="155" spans="1:13" x14ac:dyDescent="0.25">
      <c r="A155" s="211" t="str">
        <f>IF('P1; Organize the PT'!B171="","",'P1; Organize the PT'!B171)</f>
        <v/>
      </c>
      <c r="B155" s="14" t="str">
        <f>IF('P1; Organize the PT'!C171="","",'P1; Organize the PT'!C171)</f>
        <v/>
      </c>
      <c r="C155" s="447" t="str">
        <f>IF('P1; Organize the PT'!D171="","",'P1; Organize the PT'!D171)</f>
        <v/>
      </c>
      <c r="D155" s="211" t="str">
        <f>IF('P1; Organize the PT'!F171="","",'P1; Organize the PT'!F171)</f>
        <v/>
      </c>
      <c r="E155" s="213">
        <v>140</v>
      </c>
      <c r="F155" s="62"/>
      <c r="G155" s="63"/>
      <c r="H155" s="63"/>
      <c r="I155" s="64"/>
      <c r="J155" s="63"/>
      <c r="K155" s="444"/>
      <c r="L155" s="8" t="str">
        <f t="shared" si="2"/>
        <v/>
      </c>
      <c r="M155" s="65"/>
    </row>
    <row r="156" spans="1:13" x14ac:dyDescent="0.25">
      <c r="A156" s="211" t="str">
        <f>IF('P1; Organize the PT'!B172="","",'P1; Organize the PT'!B172)</f>
        <v/>
      </c>
      <c r="B156" s="14" t="str">
        <f>IF('P1; Organize the PT'!C172="","",'P1; Organize the PT'!C172)</f>
        <v/>
      </c>
      <c r="C156" s="447" t="str">
        <f>IF('P1; Organize the PT'!D172="","",'P1; Organize the PT'!D172)</f>
        <v/>
      </c>
      <c r="D156" s="211" t="str">
        <f>IF('P1; Organize the PT'!F172="","",'P1; Organize the PT'!F172)</f>
        <v/>
      </c>
      <c r="E156" s="213">
        <v>141</v>
      </c>
      <c r="F156" s="62"/>
      <c r="G156" s="63"/>
      <c r="H156" s="63"/>
      <c r="I156" s="64"/>
      <c r="J156" s="63"/>
      <c r="K156" s="444"/>
      <c r="L156" s="8" t="str">
        <f t="shared" si="2"/>
        <v/>
      </c>
      <c r="M156" s="65"/>
    </row>
    <row r="157" spans="1:13" x14ac:dyDescent="0.25">
      <c r="A157" s="211" t="str">
        <f>IF('P1; Organize the PT'!B173="","",'P1; Organize the PT'!B173)</f>
        <v/>
      </c>
      <c r="B157" s="14" t="str">
        <f>IF('P1; Organize the PT'!C173="","",'P1; Organize the PT'!C173)</f>
        <v/>
      </c>
      <c r="C157" s="447" t="str">
        <f>IF('P1; Organize the PT'!D173="","",'P1; Organize the PT'!D173)</f>
        <v/>
      </c>
      <c r="D157" s="211" t="str">
        <f>IF('P1; Organize the PT'!F173="","",'P1; Organize the PT'!F173)</f>
        <v/>
      </c>
      <c r="E157" s="213">
        <v>142</v>
      </c>
      <c r="F157" s="62"/>
      <c r="G157" s="63"/>
      <c r="H157" s="63"/>
      <c r="I157" s="64"/>
      <c r="J157" s="63"/>
      <c r="K157" s="444"/>
      <c r="L157" s="8" t="str">
        <f t="shared" si="2"/>
        <v/>
      </c>
      <c r="M157" s="65"/>
    </row>
    <row r="158" spans="1:13" x14ac:dyDescent="0.25">
      <c r="A158" s="211" t="str">
        <f>IF('P1; Organize the PT'!B174="","",'P1; Organize the PT'!B174)</f>
        <v/>
      </c>
      <c r="B158" s="14" t="str">
        <f>IF('P1; Organize the PT'!C174="","",'P1; Organize the PT'!C174)</f>
        <v/>
      </c>
      <c r="C158" s="447" t="str">
        <f>IF('P1; Organize the PT'!D174="","",'P1; Organize the PT'!D174)</f>
        <v/>
      </c>
      <c r="D158" s="211" t="str">
        <f>IF('P1; Organize the PT'!F174="","",'P1; Organize the PT'!F174)</f>
        <v/>
      </c>
      <c r="E158" s="213">
        <v>143</v>
      </c>
      <c r="F158" s="62"/>
      <c r="G158" s="63"/>
      <c r="H158" s="63"/>
      <c r="I158" s="64"/>
      <c r="J158" s="63"/>
      <c r="K158" s="444"/>
      <c r="L158" s="8" t="str">
        <f t="shared" si="2"/>
        <v/>
      </c>
      <c r="M158" s="65"/>
    </row>
    <row r="159" spans="1:13" x14ac:dyDescent="0.25">
      <c r="A159" s="211" t="str">
        <f>IF('P1; Organize the PT'!B175="","",'P1; Organize the PT'!B175)</f>
        <v/>
      </c>
      <c r="B159" s="14" t="str">
        <f>IF('P1; Organize the PT'!C175="","",'P1; Organize the PT'!C175)</f>
        <v/>
      </c>
      <c r="C159" s="447" t="str">
        <f>IF('P1; Organize the PT'!D175="","",'P1; Organize the PT'!D175)</f>
        <v/>
      </c>
      <c r="D159" s="211" t="str">
        <f>IF('P1; Organize the PT'!F175="","",'P1; Organize the PT'!F175)</f>
        <v/>
      </c>
      <c r="E159" s="213">
        <v>144</v>
      </c>
      <c r="F159" s="62"/>
      <c r="G159" s="63"/>
      <c r="H159" s="63"/>
      <c r="I159" s="64"/>
      <c r="J159" s="63"/>
      <c r="K159" s="444"/>
      <c r="L159" s="8" t="str">
        <f t="shared" si="2"/>
        <v/>
      </c>
      <c r="M159" s="65"/>
    </row>
    <row r="160" spans="1:13" x14ac:dyDescent="0.25">
      <c r="A160" s="211" t="str">
        <f>IF('P1; Organize the PT'!B176="","",'P1; Organize the PT'!B176)</f>
        <v/>
      </c>
      <c r="B160" s="14" t="str">
        <f>IF('P1; Organize the PT'!C176="","",'P1; Organize the PT'!C176)</f>
        <v/>
      </c>
      <c r="C160" s="447" t="str">
        <f>IF('P1; Organize the PT'!D176="","",'P1; Organize the PT'!D176)</f>
        <v/>
      </c>
      <c r="D160" s="211" t="str">
        <f>IF('P1; Organize the PT'!F176="","",'P1; Organize the PT'!F176)</f>
        <v/>
      </c>
      <c r="E160" s="213">
        <v>145</v>
      </c>
      <c r="F160" s="62"/>
      <c r="G160" s="63"/>
      <c r="H160" s="63"/>
      <c r="I160" s="64"/>
      <c r="J160" s="63"/>
      <c r="K160" s="444"/>
      <c r="L160" s="8" t="str">
        <f t="shared" si="2"/>
        <v/>
      </c>
      <c r="M160" s="65"/>
    </row>
    <row r="161" spans="1:13" x14ac:dyDescent="0.25">
      <c r="A161" s="211" t="str">
        <f>IF('P1; Organize the PT'!B177="","",'P1; Organize the PT'!B177)</f>
        <v/>
      </c>
      <c r="B161" s="14" t="str">
        <f>IF('P1; Organize the PT'!C177="","",'P1; Organize the PT'!C177)</f>
        <v/>
      </c>
      <c r="C161" s="447" t="str">
        <f>IF('P1; Organize the PT'!D177="","",'P1; Organize the PT'!D177)</f>
        <v/>
      </c>
      <c r="D161" s="211" t="str">
        <f>IF('P1; Organize the PT'!F177="","",'P1; Organize the PT'!F177)</f>
        <v/>
      </c>
      <c r="E161" s="213">
        <v>146</v>
      </c>
      <c r="F161" s="62"/>
      <c r="G161" s="63"/>
      <c r="H161" s="63"/>
      <c r="I161" s="64"/>
      <c r="J161" s="63"/>
      <c r="K161" s="444"/>
      <c r="L161" s="8" t="str">
        <f t="shared" si="2"/>
        <v/>
      </c>
      <c r="M161" s="65"/>
    </row>
    <row r="162" spans="1:13" x14ac:dyDescent="0.25">
      <c r="A162" s="211" t="str">
        <f>IF('P1; Organize the PT'!B178="","",'P1; Organize the PT'!B178)</f>
        <v/>
      </c>
      <c r="B162" s="14" t="str">
        <f>IF('P1; Organize the PT'!C178="","",'P1; Organize the PT'!C178)</f>
        <v/>
      </c>
      <c r="C162" s="447" t="str">
        <f>IF('P1; Organize the PT'!D178="","",'P1; Organize the PT'!D178)</f>
        <v/>
      </c>
      <c r="D162" s="211" t="str">
        <f>IF('P1; Organize the PT'!F178="","",'P1; Organize the PT'!F178)</f>
        <v/>
      </c>
      <c r="E162" s="213">
        <v>147</v>
      </c>
      <c r="F162" s="62"/>
      <c r="G162" s="63"/>
      <c r="H162" s="63"/>
      <c r="I162" s="64"/>
      <c r="J162" s="63"/>
      <c r="K162" s="444"/>
      <c r="L162" s="8" t="str">
        <f t="shared" si="2"/>
        <v/>
      </c>
      <c r="M162" s="65"/>
    </row>
    <row r="163" spans="1:13" x14ac:dyDescent="0.25">
      <c r="A163" s="211" t="str">
        <f>IF('P1; Organize the PT'!B179="","",'P1; Organize the PT'!B179)</f>
        <v/>
      </c>
      <c r="B163" s="14" t="str">
        <f>IF('P1; Organize the PT'!C179="","",'P1; Organize the PT'!C179)</f>
        <v/>
      </c>
      <c r="C163" s="447" t="str">
        <f>IF('P1; Organize the PT'!D179="","",'P1; Organize the PT'!D179)</f>
        <v/>
      </c>
      <c r="D163" s="211" t="str">
        <f>IF('P1; Organize the PT'!F179="","",'P1; Organize the PT'!F179)</f>
        <v/>
      </c>
      <c r="E163" s="213">
        <v>148</v>
      </c>
      <c r="F163" s="62"/>
      <c r="G163" s="63"/>
      <c r="H163" s="63"/>
      <c r="I163" s="64"/>
      <c r="J163" s="63"/>
      <c r="K163" s="444"/>
      <c r="L163" s="8" t="str">
        <f t="shared" si="2"/>
        <v/>
      </c>
      <c r="M163" s="65"/>
    </row>
    <row r="164" spans="1:13" x14ac:dyDescent="0.25">
      <c r="A164" s="211" t="str">
        <f>IF('P1; Organize the PT'!B180="","",'P1; Organize the PT'!B180)</f>
        <v/>
      </c>
      <c r="B164" s="14" t="str">
        <f>IF('P1; Organize the PT'!C180="","",'P1; Organize the PT'!C180)</f>
        <v/>
      </c>
      <c r="C164" s="447" t="str">
        <f>IF('P1; Organize the PT'!D180="","",'P1; Organize the PT'!D180)</f>
        <v/>
      </c>
      <c r="D164" s="211" t="str">
        <f>IF('P1; Organize the PT'!F180="","",'P1; Organize the PT'!F180)</f>
        <v/>
      </c>
      <c r="E164" s="213">
        <v>149</v>
      </c>
      <c r="F164" s="62"/>
      <c r="G164" s="63"/>
      <c r="H164" s="63"/>
      <c r="I164" s="64"/>
      <c r="J164" s="63"/>
      <c r="K164" s="444"/>
      <c r="L164" s="8" t="str">
        <f t="shared" si="2"/>
        <v/>
      </c>
      <c r="M164" s="65"/>
    </row>
    <row r="165" spans="1:13" x14ac:dyDescent="0.25">
      <c r="A165" s="211" t="str">
        <f>IF('P1; Organize the PT'!B181="","",'P1; Organize the PT'!B181)</f>
        <v/>
      </c>
      <c r="B165" s="14" t="str">
        <f>IF('P1; Organize the PT'!C181="","",'P1; Organize the PT'!C181)</f>
        <v/>
      </c>
      <c r="C165" s="447" t="str">
        <f>IF('P1; Organize the PT'!D181="","",'P1; Organize the PT'!D181)</f>
        <v/>
      </c>
      <c r="D165" s="211" t="str">
        <f>IF('P1; Organize the PT'!F181="","",'P1; Organize the PT'!F181)</f>
        <v/>
      </c>
      <c r="E165" s="213">
        <v>150</v>
      </c>
      <c r="F165" s="62"/>
      <c r="G165" s="63"/>
      <c r="H165" s="63"/>
      <c r="I165" s="64"/>
      <c r="J165" s="63"/>
      <c r="K165" s="444"/>
      <c r="L165" s="8" t="str">
        <f t="shared" si="2"/>
        <v/>
      </c>
      <c r="M165" s="65"/>
    </row>
  </sheetData>
  <sheetProtection algorithmName="SHA-512" hashValue="nC0geyBijPpOqunuFQQGtWwBilXr1wViBZXToToBZah4Vfb+slJbD5k9cQYPLWYDKrPnhjqO1pz7TAF/xQ13kA==" saltValue="iV350xTDy9AgDbtZLHjwDA==" spinCount="100000" sheet="1" objects="1" scenarios="1"/>
  <mergeCells count="4">
    <mergeCell ref="A14:L14"/>
    <mergeCell ref="B4:C4"/>
    <mergeCell ref="B5:C5"/>
    <mergeCell ref="B6:C6"/>
  </mergeCells>
  <conditionalFormatting sqref="A16:C165">
    <cfRule type="expression" dxfId="5" priority="1">
      <formula>$A16&lt;&gt;""</formula>
    </cfRule>
  </conditionalFormatting>
  <conditionalFormatting sqref="F16:K165 M16:M165">
    <cfRule type="cellIs" dxfId="4" priority="83" operator="greaterThan">
      <formula>#REF!</formula>
    </cfRule>
  </conditionalFormatting>
  <pageMargins left="0.25" right="0.25" top="0.75" bottom="0.75" header="0.3" footer="0.3"/>
  <pageSetup scale="65" fitToHeight="0" orientation="landscape" horizontalDpi="300" verticalDpi="300" r:id="rId1"/>
  <headerFooter>
    <oddFooter>&amp;LWeights and Measures&amp;CPage &amp;P of &amp;N</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prompt="Leave cells blank if the answer is &quot;No&quot;_x000a_Coordinator may enter dates in lieu of &quot;Y&quot;" xr:uid="{166C4D0C-7CF3-45F2-B2A7-2E12DB3930DC}">
          <x14:formula1>
            <xm:f>LookupTables!$Y$31:$Y$32</xm:f>
          </x14:formula1>
          <xm:sqref>H16:I165 M16:M165</xm:sqref>
        </x14:dataValidation>
        <x14:dataValidation type="list" allowBlank="1" showInputMessage="1" showErrorMessage="1" xr:uid="{16C1A739-C32F-4C2D-BAEB-A68CE297F108}">
          <x14:formula1>
            <xm:f>LookupTables!$AJ$3:$AJ$4</xm:f>
          </x14:formula1>
          <xm:sqref>F16:F165</xm:sqref>
        </x14:dataValidation>
        <x14:dataValidation type="list" allowBlank="1" showInputMessage="1" showErrorMessage="1" xr:uid="{FBF50BE9-E51E-4C6B-A98C-65D3F3994E5F}">
          <x14:formula1>
            <xm:f>'P1; Organize the PT'!$D$32:$D$181</xm:f>
          </x14:formula1>
          <xm:sqref>K16:K165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B6DF89"/>
    <pageSetUpPr fitToPage="1"/>
  </sheetPr>
  <dimension ref="A1:N39"/>
  <sheetViews>
    <sheetView topLeftCell="A2" zoomScale="90" zoomScaleNormal="90" zoomScaleSheetLayoutView="115" workbookViewId="0">
      <selection activeCell="B11" sqref="B11"/>
    </sheetView>
  </sheetViews>
  <sheetFormatPr defaultRowHeight="15" x14ac:dyDescent="0.25"/>
  <cols>
    <col min="1" max="1" width="18.5703125" customWidth="1"/>
    <col min="2" max="2" width="17.140625" customWidth="1"/>
    <col min="3" max="3" width="24.85546875" customWidth="1"/>
    <col min="4" max="4" width="22.140625" customWidth="1"/>
    <col min="5" max="5" width="18" customWidth="1"/>
    <col min="6" max="6" width="14.42578125" customWidth="1"/>
    <col min="7" max="7" width="49.42578125" customWidth="1"/>
    <col min="8" max="8" width="25.85546875" customWidth="1"/>
    <col min="9" max="9" width="21.42578125" customWidth="1"/>
    <col min="10" max="10" width="15.140625" customWidth="1"/>
    <col min="11" max="11" width="13" customWidth="1"/>
    <col min="12" max="12" width="23" customWidth="1"/>
    <col min="13" max="13" width="19.85546875" customWidth="1"/>
    <col min="14" max="14" width="12.5703125" customWidth="1"/>
  </cols>
  <sheetData>
    <row r="1" spans="1:13" ht="21" x14ac:dyDescent="0.35">
      <c r="A1" s="332" t="s">
        <v>93</v>
      </c>
    </row>
    <row r="2" spans="1:13" ht="21" x14ac:dyDescent="0.35">
      <c r="A2" s="26" t="s">
        <v>501</v>
      </c>
    </row>
    <row r="4" spans="1:13" x14ac:dyDescent="0.25">
      <c r="A4" s="9" t="s">
        <v>190</v>
      </c>
      <c r="B4" s="616" t="str">
        <f>IF('P1; Organize the PT'!C4="","",'P1; Organize the PT'!C4)</f>
        <v>----</v>
      </c>
      <c r="C4" s="617"/>
    </row>
    <row r="5" spans="1:13" x14ac:dyDescent="0.25">
      <c r="A5" s="9" t="s">
        <v>102</v>
      </c>
      <c r="B5" s="616" t="str">
        <f>IF('P1; Organize the PT'!C12="","",'P1; Organize the PT'!C12)</f>
        <v/>
      </c>
      <c r="C5" s="617"/>
    </row>
    <row r="6" spans="1:13" x14ac:dyDescent="0.25">
      <c r="A6" s="9" t="s">
        <v>191</v>
      </c>
      <c r="B6" s="616" t="str">
        <f>IF('P1; Organize the PT'!C15="","",'P1; Organize the PT'!C15)</f>
        <v/>
      </c>
      <c r="C6" s="617"/>
    </row>
    <row r="8" spans="1:13" ht="15.75" thickBot="1" x14ac:dyDescent="0.3"/>
    <row r="9" spans="1:13" x14ac:dyDescent="0.25">
      <c r="A9" s="646" t="s">
        <v>502</v>
      </c>
      <c r="B9" s="647"/>
      <c r="C9" s="647"/>
      <c r="D9" s="647"/>
      <c r="E9" s="647"/>
      <c r="F9" s="647"/>
      <c r="G9" s="647"/>
      <c r="H9" s="647"/>
      <c r="I9" s="647"/>
      <c r="J9" s="647"/>
      <c r="K9" s="647"/>
      <c r="L9" s="648"/>
    </row>
    <row r="10" spans="1:13" s="477" customFormat="1" x14ac:dyDescent="0.25">
      <c r="A10" s="476" t="s">
        <v>440</v>
      </c>
      <c r="B10" s="476" t="s">
        <v>503</v>
      </c>
      <c r="C10" s="476" t="s">
        <v>1392</v>
      </c>
      <c r="D10" s="476" t="s">
        <v>659</v>
      </c>
      <c r="E10" s="476" t="s">
        <v>504</v>
      </c>
      <c r="F10" s="476" t="s">
        <v>505</v>
      </c>
      <c r="G10" s="476" t="s">
        <v>506</v>
      </c>
      <c r="H10" s="476" t="s">
        <v>507</v>
      </c>
      <c r="I10" s="475" t="s">
        <v>508</v>
      </c>
      <c r="J10" s="476" t="s">
        <v>509</v>
      </c>
      <c r="K10" s="476" t="s">
        <v>510</v>
      </c>
      <c r="L10" s="476" t="s">
        <v>511</v>
      </c>
      <c r="M10" s="476" t="s">
        <v>3</v>
      </c>
    </row>
    <row r="11" spans="1:13" x14ac:dyDescent="0.25">
      <c r="A11" s="482">
        <v>1</v>
      </c>
      <c r="B11" s="66"/>
      <c r="C11" s="66"/>
      <c r="D11" s="474" t="str">
        <f>IF(Table152[[#This Row],[Laboratory/ Organization]]="","",VLOOKUP(Table152[[#This Row],[Laboratory/ Organization]],'P4; Addresses &amp; Contacts'!$B$12:$I$46,2,FALSE))</f>
        <v/>
      </c>
      <c r="E11" s="474" t="str">
        <f>IF(Table152[[#This Row],[Laboratory/ Organization]]="","",VLOOKUP(Table152[[#This Row],[Laboratory/ Organization]],'P4; Addresses &amp; Contacts'!$B$12:$I$46,3,FALSE))</f>
        <v/>
      </c>
      <c r="F11" s="474" t="str">
        <f>IF(Table152[[#This Row],[Laboratory/ Organization]]="","",VLOOKUP(Table152[[#This Row],[Laboratory/ Organization]],'P4; Addresses &amp; Contacts'!$B$12:$I$46,4,FALSE))</f>
        <v/>
      </c>
      <c r="G11" s="66"/>
      <c r="H11" s="66"/>
      <c r="I11" s="66"/>
      <c r="J11" s="66"/>
      <c r="K11" s="67"/>
      <c r="L11" s="66"/>
      <c r="M11" s="66"/>
    </row>
    <row r="12" spans="1:13" x14ac:dyDescent="0.25">
      <c r="A12" s="482" t="str">
        <f>IF(B11="","",2)</f>
        <v/>
      </c>
      <c r="B12" s="66"/>
      <c r="C12" s="66"/>
      <c r="D12" s="474" t="str">
        <f>IF(Table152[[#This Row],[Laboratory/ Organization]]="","",VLOOKUP(Table152[[#This Row],[Laboratory/ Organization]],'P4; Addresses &amp; Contacts'!$B$12:$I$46,2,FALSE))</f>
        <v/>
      </c>
      <c r="E12" s="474" t="str">
        <f>IF(Table152[[#This Row],[Laboratory/ Organization]]="","",VLOOKUP(Table152[[#This Row],[Laboratory/ Organization]],'P4; Addresses &amp; Contacts'!$B$12:$I$46,3,FALSE))</f>
        <v/>
      </c>
      <c r="F12" s="474" t="str">
        <f>IF(Table152[[#This Row],[Laboratory/ Organization]]="","",VLOOKUP(Table152[[#This Row],[Laboratory/ Organization]],'P4; Addresses &amp; Contacts'!$B$12:$I$46,4,FALSE))</f>
        <v/>
      </c>
      <c r="G12" s="66"/>
      <c r="H12" s="66"/>
      <c r="I12" s="66"/>
      <c r="J12" s="66"/>
      <c r="K12" s="67"/>
      <c r="L12" s="66"/>
      <c r="M12" s="66"/>
    </row>
    <row r="13" spans="1:13" x14ac:dyDescent="0.25">
      <c r="A13" s="482" t="str">
        <f>IF(B12="","",3)</f>
        <v/>
      </c>
      <c r="B13" s="66"/>
      <c r="C13" s="66"/>
      <c r="D13" s="474" t="str">
        <f>IF(Table152[[#This Row],[Laboratory/ Organization]]="","",VLOOKUP(Table152[[#This Row],[Laboratory/ Organization]],'P4; Addresses &amp; Contacts'!$B$12:$I$46,2,FALSE))</f>
        <v/>
      </c>
      <c r="E13" s="474" t="str">
        <f>IF(Table152[[#This Row],[Laboratory/ Organization]]="","",VLOOKUP(Table152[[#This Row],[Laboratory/ Organization]],'P4; Addresses &amp; Contacts'!$B$12:$I$46,3,FALSE))</f>
        <v/>
      </c>
      <c r="F13" s="474" t="str">
        <f>IF(Table152[[#This Row],[Laboratory/ Organization]]="","",VLOOKUP(Table152[[#This Row],[Laboratory/ Organization]],'P4; Addresses &amp; Contacts'!$B$12:$I$46,4,FALSE))</f>
        <v/>
      </c>
      <c r="G13" s="66"/>
      <c r="H13" s="66"/>
      <c r="I13" s="66"/>
      <c r="J13" s="66"/>
      <c r="K13" s="67"/>
      <c r="L13" s="66"/>
      <c r="M13" s="66"/>
    </row>
    <row r="14" spans="1:13" x14ac:dyDescent="0.25">
      <c r="A14" s="482" t="str">
        <f>IF(B13="","",4)</f>
        <v/>
      </c>
      <c r="B14" s="66"/>
      <c r="C14" s="66"/>
      <c r="D14" s="474" t="str">
        <f>IF(Table152[[#This Row],[Laboratory/ Organization]]="","",VLOOKUP(Table152[[#This Row],[Laboratory/ Organization]],'P4; Addresses &amp; Contacts'!$B$12:$I$46,2,FALSE))</f>
        <v/>
      </c>
      <c r="E14" s="474" t="str">
        <f>IF(Table152[[#This Row],[Laboratory/ Organization]]="","",VLOOKUP(Table152[[#This Row],[Laboratory/ Organization]],'P4; Addresses &amp; Contacts'!$B$12:$I$46,3,FALSE))</f>
        <v/>
      </c>
      <c r="F14" s="474" t="str">
        <f>IF(Table152[[#This Row],[Laboratory/ Organization]]="","",VLOOKUP(Table152[[#This Row],[Laboratory/ Organization]],'P4; Addresses &amp; Contacts'!$B$12:$I$46,4,FALSE))</f>
        <v/>
      </c>
      <c r="G14" s="66"/>
      <c r="H14" s="66"/>
      <c r="I14" s="66"/>
      <c r="J14" s="66"/>
      <c r="K14" s="67"/>
      <c r="L14" s="66"/>
      <c r="M14" s="66"/>
    </row>
    <row r="15" spans="1:13" x14ac:dyDescent="0.25">
      <c r="A15" s="482" t="str">
        <f>IF(B14="","",5)</f>
        <v/>
      </c>
      <c r="B15" s="66"/>
      <c r="C15" s="66"/>
      <c r="D15" s="474" t="str">
        <f>IF(Table152[[#This Row],[Laboratory/ Organization]]="","",VLOOKUP(Table152[[#This Row],[Laboratory/ Organization]],'P4; Addresses &amp; Contacts'!$B$12:$I$46,2,FALSE))</f>
        <v/>
      </c>
      <c r="E15" s="474" t="str">
        <f>IF(Table152[[#This Row],[Laboratory/ Organization]]="","",VLOOKUP(Table152[[#This Row],[Laboratory/ Organization]],'P4; Addresses &amp; Contacts'!$B$12:$I$46,3,FALSE))</f>
        <v/>
      </c>
      <c r="F15" s="474" t="str">
        <f>IF(Table152[[#This Row],[Laboratory/ Organization]]="","",VLOOKUP(Table152[[#This Row],[Laboratory/ Organization]],'P4; Addresses &amp; Contacts'!$B$12:$I$46,4,FALSE))</f>
        <v/>
      </c>
      <c r="G15" s="66"/>
      <c r="H15" s="66"/>
      <c r="I15" s="66"/>
      <c r="J15" s="66"/>
      <c r="K15" s="67"/>
      <c r="L15" s="66"/>
      <c r="M15" s="66"/>
    </row>
    <row r="16" spans="1:13" x14ac:dyDescent="0.25">
      <c r="A16" s="482" t="str">
        <f>IF(B15="","",6)</f>
        <v/>
      </c>
      <c r="B16" s="66"/>
      <c r="C16" s="66"/>
      <c r="D16" s="474" t="str">
        <f>IF(Table152[[#This Row],[Laboratory/ Organization]]="","",VLOOKUP(Table152[[#This Row],[Laboratory/ Organization]],'P4; Addresses &amp; Contacts'!$B$12:$I$46,2,FALSE))</f>
        <v/>
      </c>
      <c r="E16" s="474" t="str">
        <f>IF(Table152[[#This Row],[Laboratory/ Organization]]="","",VLOOKUP(Table152[[#This Row],[Laboratory/ Organization]],'P4; Addresses &amp; Contacts'!$B$12:$I$46,3,FALSE))</f>
        <v/>
      </c>
      <c r="F16" s="474" t="str">
        <f>IF(Table152[[#This Row],[Laboratory/ Organization]]="","",VLOOKUP(Table152[[#This Row],[Laboratory/ Organization]],'P4; Addresses &amp; Contacts'!$B$12:$I$46,4,FALSE))</f>
        <v/>
      </c>
      <c r="G16" s="66"/>
      <c r="H16" s="66"/>
      <c r="I16" s="66"/>
      <c r="J16" s="66"/>
      <c r="K16" s="67"/>
      <c r="L16" s="66"/>
      <c r="M16" s="66"/>
    </row>
    <row r="17" spans="1:13" x14ac:dyDescent="0.25">
      <c r="A17" s="482" t="str">
        <f>IF(B16="","",7)</f>
        <v/>
      </c>
      <c r="B17" s="66"/>
      <c r="C17" s="66"/>
      <c r="D17" s="474" t="str">
        <f>IF(Table152[[#This Row],[Laboratory/ Organization]]="","",VLOOKUP(Table152[[#This Row],[Laboratory/ Organization]],'P4; Addresses &amp; Contacts'!$B$12:$I$46,2,FALSE))</f>
        <v/>
      </c>
      <c r="E17" s="474" t="str">
        <f>IF(Table152[[#This Row],[Laboratory/ Organization]]="","",VLOOKUP(Table152[[#This Row],[Laboratory/ Organization]],'P4; Addresses &amp; Contacts'!$B$12:$I$46,3,FALSE))</f>
        <v/>
      </c>
      <c r="F17" s="474" t="str">
        <f>IF(Table152[[#This Row],[Laboratory/ Organization]]="","",VLOOKUP(Table152[[#This Row],[Laboratory/ Organization]],'P4; Addresses &amp; Contacts'!$B$12:$I$46,4,FALSE))</f>
        <v/>
      </c>
      <c r="G17" s="66"/>
      <c r="H17" s="66"/>
      <c r="I17" s="66"/>
      <c r="J17" s="66"/>
      <c r="K17" s="67"/>
      <c r="L17" s="66"/>
      <c r="M17" s="66"/>
    </row>
    <row r="18" spans="1:13" x14ac:dyDescent="0.25">
      <c r="A18" s="482" t="str">
        <f>IF(B17="","",8)</f>
        <v/>
      </c>
      <c r="B18" s="66"/>
      <c r="C18" s="66"/>
      <c r="D18" s="474" t="str">
        <f>IF(Table152[[#This Row],[Laboratory/ Organization]]="","",VLOOKUP(Table152[[#This Row],[Laboratory/ Organization]],'P4; Addresses &amp; Contacts'!$B$12:$I$46,2,FALSE))</f>
        <v/>
      </c>
      <c r="E18" s="474" t="str">
        <f>IF(Table152[[#This Row],[Laboratory/ Organization]]="","",VLOOKUP(Table152[[#This Row],[Laboratory/ Organization]],'P4; Addresses &amp; Contacts'!$B$12:$I$46,3,FALSE))</f>
        <v/>
      </c>
      <c r="F18" s="474" t="str">
        <f>IF(Table152[[#This Row],[Laboratory/ Organization]]="","",VLOOKUP(Table152[[#This Row],[Laboratory/ Organization]],'P4; Addresses &amp; Contacts'!$B$12:$I$46,4,FALSE))</f>
        <v/>
      </c>
      <c r="G18" s="66"/>
      <c r="H18" s="66"/>
      <c r="I18" s="66"/>
      <c r="J18" s="66"/>
      <c r="K18" s="67"/>
      <c r="L18" s="66"/>
      <c r="M18" s="66"/>
    </row>
    <row r="19" spans="1:13" x14ac:dyDescent="0.25">
      <c r="A19" s="482" t="str">
        <f>IF(B18="","",9)</f>
        <v/>
      </c>
      <c r="B19" s="66"/>
      <c r="C19" s="66"/>
      <c r="D19" s="474" t="str">
        <f>IF(Table152[[#This Row],[Laboratory/ Organization]]="","",VLOOKUP(Table152[[#This Row],[Laboratory/ Organization]],'P4; Addresses &amp; Contacts'!$B$12:$I$46,2,FALSE))</f>
        <v/>
      </c>
      <c r="E19" s="474" t="str">
        <f>IF(Table152[[#This Row],[Laboratory/ Organization]]="","",VLOOKUP(Table152[[#This Row],[Laboratory/ Organization]],'P4; Addresses &amp; Contacts'!$B$12:$I$46,3,FALSE))</f>
        <v/>
      </c>
      <c r="F19" s="474" t="str">
        <f>IF(Table152[[#This Row],[Laboratory/ Organization]]="","",VLOOKUP(Table152[[#This Row],[Laboratory/ Organization]],'P4; Addresses &amp; Contacts'!$B$12:$I$46,4,FALSE))</f>
        <v/>
      </c>
      <c r="G19" s="66"/>
      <c r="H19" s="66"/>
      <c r="I19" s="66"/>
      <c r="J19" s="66"/>
      <c r="K19" s="67"/>
      <c r="L19" s="66"/>
      <c r="M19" s="66"/>
    </row>
    <row r="20" spans="1:13" x14ac:dyDescent="0.25">
      <c r="A20" s="482" t="str">
        <f>IF(B19="","",10)</f>
        <v/>
      </c>
      <c r="B20" s="66"/>
      <c r="C20" s="66"/>
      <c r="D20" s="474" t="str">
        <f>IF(Table152[[#This Row],[Laboratory/ Organization]]="","",VLOOKUP(Table152[[#This Row],[Laboratory/ Organization]],'P4; Addresses &amp; Contacts'!$B$12:$I$46,2,FALSE))</f>
        <v/>
      </c>
      <c r="E20" s="474" t="str">
        <f>IF(Table152[[#This Row],[Laboratory/ Organization]]="","",VLOOKUP(Table152[[#This Row],[Laboratory/ Organization]],'P4; Addresses &amp; Contacts'!$B$12:$I$46,3,FALSE))</f>
        <v/>
      </c>
      <c r="F20" s="474" t="str">
        <f>IF(Table152[[#This Row],[Laboratory/ Organization]]="","",VLOOKUP(Table152[[#This Row],[Laboratory/ Organization]],'P4; Addresses &amp; Contacts'!$B$12:$I$46,4,FALSE))</f>
        <v/>
      </c>
      <c r="G20" s="66"/>
      <c r="H20" s="66"/>
      <c r="I20" s="66"/>
      <c r="J20" s="66"/>
      <c r="K20" s="67"/>
      <c r="L20" s="66"/>
      <c r="M20" s="66"/>
    </row>
    <row r="21" spans="1:13" x14ac:dyDescent="0.25">
      <c r="A21" s="482" t="str">
        <f>IF(B20="","",11)</f>
        <v/>
      </c>
      <c r="B21" s="66"/>
      <c r="C21" s="66"/>
      <c r="D21" s="474" t="str">
        <f>IF(Table152[[#This Row],[Laboratory/ Organization]]="","",VLOOKUP(Table152[[#This Row],[Laboratory/ Organization]],'P4; Addresses &amp; Contacts'!$B$12:$I$46,2,FALSE))</f>
        <v/>
      </c>
      <c r="E21" s="474" t="str">
        <f>IF(Table152[[#This Row],[Laboratory/ Organization]]="","",VLOOKUP(Table152[[#This Row],[Laboratory/ Organization]],'P4; Addresses &amp; Contacts'!$B$12:$I$46,3,FALSE))</f>
        <v/>
      </c>
      <c r="F21" s="474" t="str">
        <f>IF(Table152[[#This Row],[Laboratory/ Organization]]="","",VLOOKUP(Table152[[#This Row],[Laboratory/ Organization]],'P4; Addresses &amp; Contacts'!$B$12:$I$46,4,FALSE))</f>
        <v/>
      </c>
      <c r="G21" s="66"/>
      <c r="H21" s="66"/>
      <c r="I21" s="66"/>
      <c r="J21" s="66"/>
      <c r="K21" s="67"/>
      <c r="L21" s="66"/>
      <c r="M21" s="66"/>
    </row>
    <row r="22" spans="1:13" x14ac:dyDescent="0.25">
      <c r="A22" s="482" t="str">
        <f>IF(B21="","",12)</f>
        <v/>
      </c>
      <c r="B22" s="66"/>
      <c r="C22" s="66"/>
      <c r="D22" s="474" t="str">
        <f>IF(Table152[[#This Row],[Laboratory/ Organization]]="","",VLOOKUP(Table152[[#This Row],[Laboratory/ Organization]],'P4; Addresses &amp; Contacts'!$B$12:$I$46,2,FALSE))</f>
        <v/>
      </c>
      <c r="E22" s="474" t="str">
        <f>IF(Table152[[#This Row],[Laboratory/ Organization]]="","",VLOOKUP(Table152[[#This Row],[Laboratory/ Organization]],'P4; Addresses &amp; Contacts'!$B$12:$I$46,3,FALSE))</f>
        <v/>
      </c>
      <c r="F22" s="474" t="str">
        <f>IF(Table152[[#This Row],[Laboratory/ Organization]]="","",VLOOKUP(Table152[[#This Row],[Laboratory/ Organization]],'P4; Addresses &amp; Contacts'!$B$12:$I$46,4,FALSE))</f>
        <v/>
      </c>
      <c r="G22" s="66"/>
      <c r="H22" s="66"/>
      <c r="I22" s="66"/>
      <c r="J22" s="66"/>
      <c r="K22" s="67"/>
      <c r="L22" s="66"/>
      <c r="M22" s="66"/>
    </row>
    <row r="23" spans="1:13" x14ac:dyDescent="0.25">
      <c r="A23" s="482" t="str">
        <f>IF(B22="","",13)</f>
        <v/>
      </c>
      <c r="B23" s="66"/>
      <c r="C23" s="66"/>
      <c r="D23" s="474" t="str">
        <f>IF(Table152[[#This Row],[Laboratory/ Organization]]="","",VLOOKUP(Table152[[#This Row],[Laboratory/ Organization]],'P4; Addresses &amp; Contacts'!$B$12:$I$46,2,FALSE))</f>
        <v/>
      </c>
      <c r="E23" s="474" t="str">
        <f>IF(Table152[[#This Row],[Laboratory/ Organization]]="","",VLOOKUP(Table152[[#This Row],[Laboratory/ Organization]],'P4; Addresses &amp; Contacts'!$B$12:$I$46,3,FALSE))</f>
        <v/>
      </c>
      <c r="F23" s="474" t="str">
        <f>IF(Table152[[#This Row],[Laboratory/ Organization]]="","",VLOOKUP(Table152[[#This Row],[Laboratory/ Organization]],'P4; Addresses &amp; Contacts'!$B$12:$I$46,4,FALSE))</f>
        <v/>
      </c>
      <c r="G23" s="66"/>
      <c r="H23" s="66"/>
      <c r="I23" s="66"/>
      <c r="J23" s="66"/>
      <c r="K23" s="67"/>
      <c r="L23" s="66"/>
      <c r="M23" s="66"/>
    </row>
    <row r="24" spans="1:13" x14ac:dyDescent="0.25">
      <c r="A24" s="482" t="str">
        <f>IF(B23="","",14)</f>
        <v/>
      </c>
      <c r="B24" s="66"/>
      <c r="C24" s="66"/>
      <c r="D24" s="474" t="str">
        <f>IF(Table152[[#This Row],[Laboratory/ Organization]]="","",VLOOKUP(Table152[[#This Row],[Laboratory/ Organization]],'P4; Addresses &amp; Contacts'!$B$12:$I$46,2,FALSE))</f>
        <v/>
      </c>
      <c r="E24" s="474" t="str">
        <f>IF(Table152[[#This Row],[Laboratory/ Organization]]="","",VLOOKUP(Table152[[#This Row],[Laboratory/ Organization]],'P4; Addresses &amp; Contacts'!$B$12:$I$46,3,FALSE))</f>
        <v/>
      </c>
      <c r="F24" s="474" t="str">
        <f>IF(Table152[[#This Row],[Laboratory/ Organization]]="","",VLOOKUP(Table152[[#This Row],[Laboratory/ Organization]],'P4; Addresses &amp; Contacts'!$B$12:$I$46,4,FALSE))</f>
        <v/>
      </c>
      <c r="G24" s="66"/>
      <c r="H24" s="66"/>
      <c r="I24" s="66"/>
      <c r="J24" s="66"/>
      <c r="K24" s="67"/>
      <c r="L24" s="66"/>
      <c r="M24" s="66"/>
    </row>
    <row r="25" spans="1:13" x14ac:dyDescent="0.25">
      <c r="A25" s="482" t="str">
        <f>IF(B24="","",15)</f>
        <v/>
      </c>
      <c r="B25" s="66"/>
      <c r="C25" s="66"/>
      <c r="D25" s="474" t="str">
        <f>IF(Table152[[#This Row],[Laboratory/ Organization]]="","",VLOOKUP(Table152[[#This Row],[Laboratory/ Organization]],'P4; Addresses &amp; Contacts'!$B$12:$I$46,2,FALSE))</f>
        <v/>
      </c>
      <c r="E25" s="474" t="str">
        <f>IF(Table152[[#This Row],[Laboratory/ Organization]]="","",VLOOKUP(Table152[[#This Row],[Laboratory/ Organization]],'P4; Addresses &amp; Contacts'!$B$12:$I$46,3,FALSE))</f>
        <v/>
      </c>
      <c r="F25" s="474" t="str">
        <f>IF(Table152[[#This Row],[Laboratory/ Organization]]="","",VLOOKUP(Table152[[#This Row],[Laboratory/ Organization]],'P4; Addresses &amp; Contacts'!$B$12:$I$46,4,FALSE))</f>
        <v/>
      </c>
      <c r="G25" s="66"/>
      <c r="H25" s="66"/>
      <c r="I25" s="66"/>
      <c r="J25" s="66"/>
      <c r="K25" s="67"/>
      <c r="L25" s="66"/>
      <c r="M25" s="66"/>
    </row>
    <row r="26" spans="1:13" x14ac:dyDescent="0.25">
      <c r="A26" s="482" t="str">
        <f>IF(B25="","",16)</f>
        <v/>
      </c>
      <c r="B26" s="66"/>
      <c r="C26" s="66"/>
      <c r="D26" s="474" t="str">
        <f>IF(Table152[[#This Row],[Laboratory/ Organization]]="","",VLOOKUP(Table152[[#This Row],[Laboratory/ Organization]],'P4; Addresses &amp; Contacts'!$B$12:$I$46,2,FALSE))</f>
        <v/>
      </c>
      <c r="E26" s="474" t="str">
        <f>IF(Table152[[#This Row],[Laboratory/ Organization]]="","",VLOOKUP(Table152[[#This Row],[Laboratory/ Organization]],'P4; Addresses &amp; Contacts'!$B$12:$I$46,3,FALSE))</f>
        <v/>
      </c>
      <c r="F26" s="474" t="str">
        <f>IF(Table152[[#This Row],[Laboratory/ Organization]]="","",VLOOKUP(Table152[[#This Row],[Laboratory/ Organization]],'P4; Addresses &amp; Contacts'!$B$12:$I$46,4,FALSE))</f>
        <v/>
      </c>
      <c r="G26" s="66"/>
      <c r="H26" s="66"/>
      <c r="I26" s="66"/>
      <c r="J26" s="66"/>
      <c r="K26" s="67"/>
      <c r="L26" s="66"/>
      <c r="M26" s="66"/>
    </row>
    <row r="27" spans="1:13" x14ac:dyDescent="0.25">
      <c r="A27" s="482" t="str">
        <f>IF(B26="","",17)</f>
        <v/>
      </c>
      <c r="B27" s="66"/>
      <c r="C27" s="66"/>
      <c r="D27" s="474" t="str">
        <f>IF(Table152[[#This Row],[Laboratory/ Organization]]="","",VLOOKUP(Table152[[#This Row],[Laboratory/ Organization]],'P4; Addresses &amp; Contacts'!$B$12:$I$46,2,FALSE))</f>
        <v/>
      </c>
      <c r="E27" s="474" t="str">
        <f>IF(Table152[[#This Row],[Laboratory/ Organization]]="","",VLOOKUP(Table152[[#This Row],[Laboratory/ Organization]],'P4; Addresses &amp; Contacts'!$B$12:$I$46,3,FALSE))</f>
        <v/>
      </c>
      <c r="F27" s="474" t="str">
        <f>IF(Table152[[#This Row],[Laboratory/ Organization]]="","",VLOOKUP(Table152[[#This Row],[Laboratory/ Organization]],'P4; Addresses &amp; Contacts'!$B$12:$I$46,4,FALSE))</f>
        <v/>
      </c>
      <c r="G27" s="66"/>
      <c r="H27" s="66"/>
      <c r="I27" s="66"/>
      <c r="J27" s="66"/>
      <c r="K27" s="67"/>
      <c r="L27" s="66"/>
      <c r="M27" s="66"/>
    </row>
    <row r="28" spans="1:13" x14ac:dyDescent="0.25">
      <c r="A28" s="482" t="str">
        <f>IF(B27="","",18)</f>
        <v/>
      </c>
      <c r="B28" s="66"/>
      <c r="C28" s="66"/>
      <c r="D28" s="474" t="str">
        <f>IF(Table152[[#This Row],[Laboratory/ Organization]]="","",VLOOKUP(Table152[[#This Row],[Laboratory/ Organization]],'P4; Addresses &amp; Contacts'!$B$12:$I$46,2,FALSE))</f>
        <v/>
      </c>
      <c r="E28" s="474" t="str">
        <f>IF(Table152[[#This Row],[Laboratory/ Organization]]="","",VLOOKUP(Table152[[#This Row],[Laboratory/ Organization]],'P4; Addresses &amp; Contacts'!$B$12:$I$46,3,FALSE))</f>
        <v/>
      </c>
      <c r="F28" s="474" t="str">
        <f>IF(Table152[[#This Row],[Laboratory/ Organization]]="","",VLOOKUP(Table152[[#This Row],[Laboratory/ Organization]],'P4; Addresses &amp; Contacts'!$B$12:$I$46,4,FALSE))</f>
        <v/>
      </c>
      <c r="G28" s="66"/>
      <c r="H28" s="66"/>
      <c r="I28" s="66"/>
      <c r="J28" s="66"/>
      <c r="K28" s="67"/>
      <c r="L28" s="66"/>
      <c r="M28" s="66"/>
    </row>
    <row r="29" spans="1:13" x14ac:dyDescent="0.25">
      <c r="A29" s="482" t="str">
        <f>IF(B28="","",19)</f>
        <v/>
      </c>
      <c r="B29" s="66"/>
      <c r="C29" s="66"/>
      <c r="D29" s="474" t="str">
        <f>IF(Table152[[#This Row],[Laboratory/ Organization]]="","",VLOOKUP(Table152[[#This Row],[Laboratory/ Organization]],'P4; Addresses &amp; Contacts'!$B$12:$I$46,2,FALSE))</f>
        <v/>
      </c>
      <c r="E29" s="474" t="str">
        <f>IF(Table152[[#This Row],[Laboratory/ Organization]]="","",VLOOKUP(Table152[[#This Row],[Laboratory/ Organization]],'P4; Addresses &amp; Contacts'!$B$12:$I$46,3,FALSE))</f>
        <v/>
      </c>
      <c r="F29" s="474" t="str">
        <f>IF(Table152[[#This Row],[Laboratory/ Organization]]="","",VLOOKUP(Table152[[#This Row],[Laboratory/ Organization]],'P4; Addresses &amp; Contacts'!$B$12:$I$46,4,FALSE))</f>
        <v/>
      </c>
      <c r="G29" s="66"/>
      <c r="H29" s="66"/>
      <c r="I29" s="66"/>
      <c r="J29" s="66"/>
      <c r="K29" s="67"/>
      <c r="L29" s="66"/>
      <c r="M29" s="66"/>
    </row>
    <row r="30" spans="1:13" x14ac:dyDescent="0.25">
      <c r="A30" s="482" t="str">
        <f>IF(B29="","",20)</f>
        <v/>
      </c>
      <c r="B30" s="66"/>
      <c r="C30" s="66"/>
      <c r="D30" s="474" t="str">
        <f>IF(Table152[[#This Row],[Laboratory/ Organization]]="","",VLOOKUP(Table152[[#This Row],[Laboratory/ Organization]],'P4; Addresses &amp; Contacts'!$B$12:$I$46,2,FALSE))</f>
        <v/>
      </c>
      <c r="E30" s="474" t="str">
        <f>IF(Table152[[#This Row],[Laboratory/ Organization]]="","",VLOOKUP(Table152[[#This Row],[Laboratory/ Organization]],'P4; Addresses &amp; Contacts'!$B$12:$I$46,3,FALSE))</f>
        <v/>
      </c>
      <c r="F30" s="474" t="str">
        <f>IF(Table152[[#This Row],[Laboratory/ Organization]]="","",VLOOKUP(Table152[[#This Row],[Laboratory/ Organization]],'P4; Addresses &amp; Contacts'!$B$12:$I$46,4,FALSE))</f>
        <v/>
      </c>
      <c r="G30" s="66"/>
      <c r="H30" s="66"/>
      <c r="I30" s="66"/>
      <c r="J30" s="66"/>
      <c r="K30" s="67"/>
      <c r="L30" s="66"/>
      <c r="M30" s="66"/>
    </row>
    <row r="31" spans="1:13" x14ac:dyDescent="0.25">
      <c r="A31" s="482" t="str">
        <f>IF(B30="","",21)</f>
        <v/>
      </c>
      <c r="B31" s="66"/>
      <c r="C31" s="66"/>
      <c r="D31" s="474" t="str">
        <f>IF(Table152[[#This Row],[Laboratory/ Organization]]="","",VLOOKUP(Table152[[#This Row],[Laboratory/ Organization]],'P4; Addresses &amp; Contacts'!$B$12:$I$46,2,FALSE))</f>
        <v/>
      </c>
      <c r="E31" s="474" t="str">
        <f>IF(Table152[[#This Row],[Laboratory/ Organization]]="","",VLOOKUP(Table152[[#This Row],[Laboratory/ Organization]],'P4; Addresses &amp; Contacts'!$B$12:$I$46,3,FALSE))</f>
        <v/>
      </c>
      <c r="F31" s="474" t="str">
        <f>IF(Table152[[#This Row],[Laboratory/ Organization]]="","",VLOOKUP(Table152[[#This Row],[Laboratory/ Organization]],'P4; Addresses &amp; Contacts'!$B$12:$I$46,4,FALSE))</f>
        <v/>
      </c>
      <c r="G31" s="66"/>
      <c r="H31" s="66"/>
      <c r="I31" s="66"/>
      <c r="J31" s="66"/>
      <c r="K31" s="67"/>
      <c r="L31" s="66"/>
      <c r="M31" s="66"/>
    </row>
    <row r="32" spans="1:13" x14ac:dyDescent="0.25">
      <c r="A32" s="482" t="str">
        <f>IF(B31="","",22)</f>
        <v/>
      </c>
      <c r="B32" s="66"/>
      <c r="C32" s="66"/>
      <c r="D32" s="474" t="str">
        <f>IF(Table152[[#This Row],[Laboratory/ Organization]]="","",VLOOKUP(Table152[[#This Row],[Laboratory/ Organization]],'P4; Addresses &amp; Contacts'!$B$12:$I$46,2,FALSE))</f>
        <v/>
      </c>
      <c r="E32" s="474" t="str">
        <f>IF(Table152[[#This Row],[Laboratory/ Organization]]="","",VLOOKUP(Table152[[#This Row],[Laboratory/ Organization]],'P4; Addresses &amp; Contacts'!$B$12:$I$46,3,FALSE))</f>
        <v/>
      </c>
      <c r="F32" s="474" t="str">
        <f>IF(Table152[[#This Row],[Laboratory/ Organization]]="","",VLOOKUP(Table152[[#This Row],[Laboratory/ Organization]],'P4; Addresses &amp; Contacts'!$B$12:$I$46,4,FALSE))</f>
        <v/>
      </c>
      <c r="G32" s="66"/>
      <c r="H32" s="66"/>
      <c r="I32" s="66"/>
      <c r="J32" s="66"/>
      <c r="K32" s="67"/>
      <c r="L32" s="66"/>
      <c r="M32" s="66"/>
    </row>
    <row r="33" spans="1:14" x14ac:dyDescent="0.25">
      <c r="A33" s="482" t="str">
        <f>IF(B32="","",23)</f>
        <v/>
      </c>
      <c r="B33" s="66"/>
      <c r="C33" s="66"/>
      <c r="D33" s="474" t="str">
        <f>IF(Table152[[#This Row],[Laboratory/ Organization]]="","",VLOOKUP(Table152[[#This Row],[Laboratory/ Organization]],'P4; Addresses &amp; Contacts'!$B$12:$I$46,2,FALSE))</f>
        <v/>
      </c>
      <c r="E33" s="474" t="str">
        <f>IF(Table152[[#This Row],[Laboratory/ Organization]]="","",VLOOKUP(Table152[[#This Row],[Laboratory/ Organization]],'P4; Addresses &amp; Contacts'!$B$12:$I$46,3,FALSE))</f>
        <v/>
      </c>
      <c r="F33" s="474" t="str">
        <f>IF(Table152[[#This Row],[Laboratory/ Organization]]="","",VLOOKUP(Table152[[#This Row],[Laboratory/ Organization]],'P4; Addresses &amp; Contacts'!$B$12:$I$46,4,FALSE))</f>
        <v/>
      </c>
      <c r="G33" s="66"/>
      <c r="H33" s="66"/>
      <c r="I33" s="66"/>
      <c r="J33" s="66"/>
      <c r="K33" s="67"/>
      <c r="L33" s="66"/>
      <c r="M33" s="66"/>
    </row>
    <row r="34" spans="1:14" x14ac:dyDescent="0.25">
      <c r="A34" s="482" t="str">
        <f>IF(B33="","",24)</f>
        <v/>
      </c>
      <c r="B34" s="66"/>
      <c r="C34" s="66"/>
      <c r="D34" s="474" t="str">
        <f>IF(Table152[[#This Row],[Laboratory/ Organization]]="","",VLOOKUP(Table152[[#This Row],[Laboratory/ Organization]],'P4; Addresses &amp; Contacts'!$B$12:$I$46,2,FALSE))</f>
        <v/>
      </c>
      <c r="E34" s="474" t="str">
        <f>IF(Table152[[#This Row],[Laboratory/ Organization]]="","",VLOOKUP(Table152[[#This Row],[Laboratory/ Organization]],'P4; Addresses &amp; Contacts'!$B$12:$I$46,3,FALSE))</f>
        <v/>
      </c>
      <c r="F34" s="474" t="str">
        <f>IF(Table152[[#This Row],[Laboratory/ Organization]]="","",VLOOKUP(Table152[[#This Row],[Laboratory/ Organization]],'P4; Addresses &amp; Contacts'!$B$12:$I$46,4,FALSE))</f>
        <v/>
      </c>
      <c r="G34" s="66"/>
      <c r="H34" s="66"/>
      <c r="I34" s="66"/>
      <c r="J34" s="66"/>
      <c r="K34" s="67"/>
      <c r="L34" s="66"/>
      <c r="M34" s="66"/>
    </row>
    <row r="35" spans="1:14" x14ac:dyDescent="0.25">
      <c r="A35" s="482" t="str">
        <f>IF(B34="","",25)</f>
        <v/>
      </c>
      <c r="B35" s="66"/>
      <c r="C35" s="66"/>
      <c r="D35" s="474" t="str">
        <f>IF(Table152[[#This Row],[Laboratory/ Organization]]="","",VLOOKUP(Table152[[#This Row],[Laboratory/ Organization]],'P4; Addresses &amp; Contacts'!$B$12:$I$46,2,FALSE))</f>
        <v/>
      </c>
      <c r="E35" s="474" t="str">
        <f>IF(Table152[[#This Row],[Laboratory/ Organization]]="","",VLOOKUP(Table152[[#This Row],[Laboratory/ Organization]],'P4; Addresses &amp; Contacts'!$B$12:$I$46,3,FALSE))</f>
        <v/>
      </c>
      <c r="F35" s="474" t="str">
        <f>IF(Table152[[#This Row],[Laboratory/ Organization]]="","",VLOOKUP(Table152[[#This Row],[Laboratory/ Organization]],'P4; Addresses &amp; Contacts'!$B$12:$I$46,4,FALSE))</f>
        <v/>
      </c>
      <c r="G35" s="66"/>
      <c r="H35" s="66"/>
      <c r="I35" s="66"/>
      <c r="J35" s="66"/>
      <c r="K35" s="67"/>
      <c r="L35" s="66"/>
      <c r="M35" s="66"/>
    </row>
    <row r="36" spans="1:14" x14ac:dyDescent="0.25">
      <c r="A36" s="482" t="str">
        <f>IF(B35="","",26)</f>
        <v/>
      </c>
      <c r="B36" s="66"/>
      <c r="C36" s="66"/>
      <c r="D36" s="474" t="str">
        <f>IF(Table152[[#This Row],[Laboratory/ Organization]]="","",VLOOKUP(Table152[[#This Row],[Laboratory/ Organization]],'P4; Addresses &amp; Contacts'!$B$12:$I$46,2,FALSE))</f>
        <v/>
      </c>
      <c r="E36" s="474" t="str">
        <f>IF(Table152[[#This Row],[Laboratory/ Organization]]="","",VLOOKUP(Table152[[#This Row],[Laboratory/ Organization]],'P4; Addresses &amp; Contacts'!$B$12:$I$46,3,FALSE))</f>
        <v/>
      </c>
      <c r="F36" s="474" t="str">
        <f>IF(Table152[[#This Row],[Laboratory/ Organization]]="","",VLOOKUP(Table152[[#This Row],[Laboratory/ Organization]],'P4; Addresses &amp; Contacts'!$B$12:$I$46,4,FALSE))</f>
        <v/>
      </c>
      <c r="G36" s="66"/>
      <c r="H36" s="66"/>
      <c r="I36" s="66"/>
      <c r="J36" s="66"/>
      <c r="K36" s="67"/>
      <c r="L36" s="66"/>
      <c r="M36" s="66"/>
    </row>
    <row r="37" spans="1:14" x14ac:dyDescent="0.25">
      <c r="A37" s="482" t="str">
        <f>IF(B36="","",27)</f>
        <v/>
      </c>
      <c r="B37" s="66"/>
      <c r="C37" s="66"/>
      <c r="D37" s="474" t="str">
        <f>IF(Table152[[#This Row],[Laboratory/ Organization]]="","",VLOOKUP(Table152[[#This Row],[Laboratory/ Organization]],'P4; Addresses &amp; Contacts'!$B$12:$I$46,2,FALSE))</f>
        <v/>
      </c>
      <c r="E37" s="474" t="str">
        <f>IF(Table152[[#This Row],[Laboratory/ Organization]]="","",VLOOKUP(Table152[[#This Row],[Laboratory/ Organization]],'P4; Addresses &amp; Contacts'!$B$12:$I$46,3,FALSE))</f>
        <v/>
      </c>
      <c r="F37" s="474" t="str">
        <f>IF(Table152[[#This Row],[Laboratory/ Organization]]="","",VLOOKUP(Table152[[#This Row],[Laboratory/ Organization]],'P4; Addresses &amp; Contacts'!$B$12:$I$46,4,FALSE))</f>
        <v/>
      </c>
      <c r="G37" s="66"/>
      <c r="H37" s="66"/>
      <c r="I37" s="66"/>
      <c r="J37" s="66"/>
      <c r="K37" s="67"/>
      <c r="L37" s="66"/>
      <c r="M37" s="66"/>
    </row>
    <row r="38" spans="1:14" ht="15.75" thickBot="1" x14ac:dyDescent="0.3">
      <c r="A38" s="482" t="str">
        <f>IF(B37="","",28)</f>
        <v/>
      </c>
      <c r="B38" s="508"/>
      <c r="C38" s="508"/>
      <c r="D38" s="511" t="str">
        <f>IF(Table152[[#This Row],[Laboratory/ Organization]]="","",VLOOKUP(Table152[[#This Row],[Laboratory/ Organization]],'P4; Addresses &amp; Contacts'!$B$12:$I$46,2,FALSE))</f>
        <v/>
      </c>
      <c r="E38" s="511" t="str">
        <f>IF(Table152[[#This Row],[Laboratory/ Organization]]="","",VLOOKUP(Table152[[#This Row],[Laboratory/ Organization]],'P4; Addresses &amp; Contacts'!$B$12:$I$46,3,FALSE))</f>
        <v/>
      </c>
      <c r="F38" s="511" t="str">
        <f>IF(Table152[[#This Row],[Laboratory/ Organization]]="","",VLOOKUP(Table152[[#This Row],[Laboratory/ Organization]],'P4; Addresses &amp; Contacts'!$B$12:$I$46,4,FALSE))</f>
        <v/>
      </c>
      <c r="G38" s="508"/>
      <c r="H38" s="508"/>
      <c r="I38" s="508"/>
      <c r="J38" s="508"/>
      <c r="K38" s="509"/>
      <c r="L38" s="508"/>
      <c r="M38" s="508"/>
    </row>
    <row r="39" spans="1:14" ht="128.25" customHeight="1" thickBot="1" x14ac:dyDescent="0.3">
      <c r="A39" s="649" t="s">
        <v>512</v>
      </c>
      <c r="B39" s="650"/>
      <c r="C39" s="650"/>
      <c r="D39" s="650"/>
      <c r="E39" s="650"/>
      <c r="F39" s="650"/>
      <c r="G39" s="650"/>
      <c r="H39" s="650"/>
      <c r="I39" s="650"/>
      <c r="J39" s="650"/>
      <c r="K39" s="650"/>
      <c r="L39" s="651"/>
      <c r="N39" s="78"/>
    </row>
  </sheetData>
  <sheetProtection algorithmName="SHA-512" hashValue="m6mu1HrbXLuWZAeFg2A8Rf99IvosCeEn5VcmFJNV2Is96sfw+T817Gj5QQXiMobW1Q2H27uQaig1s0NHQ7fWRA==" saltValue="LUPvBjCDHbBelI6FTlxdyQ==" spinCount="100000" sheet="1" objects="1" scenarios="1"/>
  <mergeCells count="5">
    <mergeCell ref="B4:C4"/>
    <mergeCell ref="B5:C5"/>
    <mergeCell ref="B6:C6"/>
    <mergeCell ref="A9:L9"/>
    <mergeCell ref="A39:L39"/>
  </mergeCells>
  <dataValidations count="2">
    <dataValidation type="list" allowBlank="1" showInputMessage="1" showErrorMessage="1" errorTitle="Notification" error="This is a Required field.  For TBD, enter notes in Comments. " promptTitle="Notify NIST" prompt="If there is corrective action needed in the middle of a PT, be sure to contact OWM for intervention immediately." sqref="H11:H38" xr:uid="{51AA1B12-56BA-4142-8409-CA1FA6D51A92}">
      <formula1>"Yes, No, TBD"</formula1>
    </dataValidation>
    <dataValidation type="list" allowBlank="1" showInputMessage="1" showErrorMessage="1" errorTitle="Type" error="Select your choices from the drop down list. " promptTitle="Type of Feedback" prompt="Required; Enter &quot;Other&quot; description in Comments." sqref="B11:B38" xr:uid="{6924A648-E5F4-436B-B5F6-8AF2E8F60521}">
      <formula1>"Complaint, Nonconformity, Corrective Action, Suggestion, Other"</formula1>
    </dataValidation>
  </dataValidations>
  <pageMargins left="0.25" right="0.25" top="0.75" bottom="0.75" header="0.3" footer="0.3"/>
  <pageSetup scale="47" fitToHeight="0" orientation="landscape" horizontalDpi="300" verticalDpi="300" r:id="rId1"/>
  <headerFooter>
    <oddFooter>&amp;LWeights and Measures&amp;CPage &amp;P of &amp;N</oddFooter>
  </headerFooter>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9CB29788-24C3-4363-B624-CB0EC9EE951A}">
          <x14:formula1>
            <xm:f>'P4; Addresses &amp; Contacts'!$B$12:$B$46</xm:f>
          </x14:formula1>
          <xm:sqref>C11:C38</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A60B-533F-45CE-AB02-92E350CBF0E9}">
  <sheetPr codeName="Sheet12">
    <tabColor theme="4" tint="0.39997558519241921"/>
  </sheetPr>
  <dimension ref="A1:ZZ129"/>
  <sheetViews>
    <sheetView zoomScale="90" zoomScaleNormal="90" workbookViewId="0">
      <selection activeCell="S9" sqref="S9"/>
    </sheetView>
  </sheetViews>
  <sheetFormatPr defaultColWidth="9.140625" defaultRowHeight="15" x14ac:dyDescent="0.25"/>
  <cols>
    <col min="1" max="1" width="9.42578125" style="90" bestFit="1" customWidth="1"/>
    <col min="2" max="2" width="16" style="90" customWidth="1"/>
    <col min="3" max="4" width="9" style="90" customWidth="1"/>
    <col min="5" max="5" width="6.5703125" style="90" customWidth="1"/>
    <col min="6" max="6" width="6.140625" style="90" customWidth="1"/>
    <col min="7" max="8" width="7.140625" style="90" customWidth="1"/>
    <col min="9" max="9" width="10.5703125" style="90" customWidth="1"/>
    <col min="10" max="10" width="10.42578125" style="90" customWidth="1"/>
    <col min="11" max="11" width="37.5703125" style="90" customWidth="1"/>
    <col min="12" max="12" width="6.5703125" style="90" customWidth="1"/>
    <col min="13" max="122" width="3.85546875" style="90" customWidth="1"/>
    <col min="123" max="701" width="9.140625" style="90"/>
    <col min="702" max="702" width="9.140625" style="90" customWidth="1"/>
    <col min="703" max="16384" width="9.140625" style="90"/>
  </cols>
  <sheetData>
    <row r="1" spans="1:702" x14ac:dyDescent="0.25">
      <c r="A1" s="689" t="s">
        <v>513</v>
      </c>
      <c r="B1" s="689"/>
      <c r="C1" s="689"/>
      <c r="D1" s="689"/>
      <c r="E1" s="689"/>
      <c r="F1" s="689"/>
      <c r="G1" s="689"/>
      <c r="H1" s="689"/>
      <c r="I1" s="689"/>
      <c r="J1" s="690"/>
      <c r="K1" s="690"/>
      <c r="L1" s="89"/>
      <c r="ZZ1" s="139"/>
    </row>
    <row r="2" spans="1:702" ht="18.75" x14ac:dyDescent="0.25">
      <c r="A2" s="691"/>
      <c r="B2" s="691"/>
      <c r="C2" s="91"/>
      <c r="D2" s="91"/>
      <c r="E2" s="92"/>
      <c r="F2" s="93" t="s">
        <v>514</v>
      </c>
      <c r="G2" s="92"/>
      <c r="H2" s="91"/>
      <c r="I2" s="691"/>
      <c r="J2" s="691"/>
      <c r="K2" s="691"/>
      <c r="L2" s="94"/>
    </row>
    <row r="3" spans="1:702" ht="18.75" x14ac:dyDescent="0.25">
      <c r="A3" s="95"/>
      <c r="B3" s="91"/>
      <c r="C3" s="91"/>
      <c r="D3" s="91"/>
      <c r="E3" s="91"/>
      <c r="F3" s="93" t="s">
        <v>515</v>
      </c>
      <c r="G3" s="96"/>
      <c r="H3" s="96"/>
      <c r="I3" s="91"/>
      <c r="J3" s="91"/>
      <c r="K3" s="97"/>
      <c r="L3" s="94"/>
    </row>
    <row r="4" spans="1:702" x14ac:dyDescent="0.25">
      <c r="A4" s="98"/>
      <c r="B4" s="91"/>
      <c r="C4" s="91"/>
      <c r="D4" s="91"/>
      <c r="E4" s="91"/>
      <c r="F4" s="99" t="s">
        <v>658</v>
      </c>
      <c r="G4" s="96"/>
      <c r="H4" s="96"/>
      <c r="I4" s="91"/>
      <c r="J4" s="71" t="s">
        <v>1590</v>
      </c>
      <c r="K4" s="100"/>
      <c r="L4" s="94"/>
    </row>
    <row r="5" spans="1:702" ht="13.5" customHeight="1" x14ac:dyDescent="0.25">
      <c r="A5" s="98"/>
      <c r="B5" s="91"/>
      <c r="C5" s="91"/>
      <c r="D5" s="91"/>
      <c r="E5" s="91"/>
      <c r="F5" s="99" t="s">
        <v>516</v>
      </c>
      <c r="G5" s="99"/>
      <c r="H5" s="99"/>
      <c r="I5" s="91"/>
      <c r="J5" s="709" t="s">
        <v>1565</v>
      </c>
      <c r="K5" s="709"/>
      <c r="L5" s="94"/>
      <c r="X5" s="71"/>
      <c r="Y5"/>
      <c r="Z5"/>
      <c r="AA5"/>
      <c r="AB5"/>
    </row>
    <row r="6" spans="1:702" x14ac:dyDescent="0.25">
      <c r="A6" s="98"/>
      <c r="B6" s="91"/>
      <c r="C6" s="91"/>
      <c r="D6" s="91"/>
      <c r="E6" s="91"/>
      <c r="F6" s="99" t="s">
        <v>517</v>
      </c>
      <c r="G6" s="99"/>
      <c r="H6" s="99"/>
      <c r="I6" s="91"/>
      <c r="J6" s="709"/>
      <c r="K6" s="709"/>
      <c r="L6" s="94"/>
      <c r="X6" s="522"/>
      <c r="Y6"/>
      <c r="Z6"/>
      <c r="AA6"/>
      <c r="AB6"/>
    </row>
    <row r="7" spans="1:702" x14ac:dyDescent="0.25">
      <c r="A7" s="101"/>
      <c r="B7" s="91"/>
      <c r="C7" s="91"/>
      <c r="D7" s="91"/>
      <c r="E7" s="91"/>
      <c r="F7" s="99" t="s">
        <v>518</v>
      </c>
      <c r="G7" s="99"/>
      <c r="H7" s="99"/>
      <c r="I7" s="91"/>
      <c r="J7" s="709"/>
      <c r="K7" s="709"/>
      <c r="L7" s="94"/>
    </row>
    <row r="8" spans="1:702" ht="15.75" thickBot="1" x14ac:dyDescent="0.3">
      <c r="A8" s="91"/>
      <c r="B8" s="91"/>
      <c r="C8" s="91"/>
      <c r="D8" s="91"/>
      <c r="E8" s="91"/>
      <c r="F8" s="99"/>
      <c r="G8" s="99"/>
      <c r="H8" s="99"/>
      <c r="I8" s="91"/>
      <c r="J8" s="91"/>
      <c r="K8" s="91"/>
      <c r="L8" s="94"/>
    </row>
    <row r="9" spans="1:702" ht="20.25" thickTop="1" thickBot="1" x14ac:dyDescent="0.3">
      <c r="A9" s="692" t="str">
        <f>"Proficiency Testing Report for " &amp; 'P1; Organize the PT'!C7 &amp;" Region"</f>
        <v>Proficiency Testing Report for  Region</v>
      </c>
      <c r="B9" s="692"/>
      <c r="C9" s="692"/>
      <c r="D9" s="692"/>
      <c r="E9" s="692"/>
      <c r="F9" s="692"/>
      <c r="G9" s="692"/>
      <c r="H9" s="692"/>
      <c r="I9" s="692"/>
      <c r="J9" s="692"/>
      <c r="K9" s="692"/>
      <c r="L9" s="94"/>
    </row>
    <row r="10" spans="1:702" ht="15.75" thickTop="1" x14ac:dyDescent="0.25">
      <c r="A10" s="91"/>
      <c r="B10" s="91"/>
      <c r="C10" s="91"/>
      <c r="D10" s="91"/>
      <c r="E10" s="91"/>
      <c r="F10" s="99"/>
      <c r="G10" s="99"/>
      <c r="H10" s="99"/>
      <c r="I10" s="91"/>
      <c r="J10" s="91"/>
      <c r="K10" s="91"/>
      <c r="L10" s="94"/>
    </row>
    <row r="11" spans="1:702" x14ac:dyDescent="0.25">
      <c r="A11" s="102"/>
      <c r="B11" s="103" t="s">
        <v>519</v>
      </c>
      <c r="C11" s="104" t="str">
        <f>CONCATENATE(IF(C12="National","NAT",C12),"-",IF(C13=2018,18,IF(C13=2019,19,IF(C13=2020,20,IF(C13=2021,21,IF(C13=2022,22,IF(C13=2022,22,IF(C13=2023,23,IF(C13=2024,24,IF(C13=2025,25,IF(C13=2026,26,IF(C13=2027,27,IF(C13=2028,28,IF(C13=2029,29,IF(C13=2030,30,"")))))))))))))),"-",IF(C14="Mass Echelon I","MI",IF(C14="Mass Echelon II","MII",IF(C14="Mass Echelon III","MIII",IF(C14="Volume Echelon I, VG","VG",IF(C14="Volume Echelon II, VT","VT",IF(C14="Length, Tape","LT",IF(C14="Length, Ruler","LR",IF(C14="Temperature Class I","T1",IF(C14="Temperature Class II","T2",IF(C14="Temperature Class III","T3",IF(C14="Temperature Class IV","T4",IF(C14="Frequency","FF",IF(C14="Time","FT",IF(C14="Hydrometer","H",IF(C14="Grain Moisture","GM",IF(C14="Wheel Load Weigher","WW","")))))))))))))))),"-",IF(C15="US Customary","US",IF(C15="Metric","M","")),"-",C16)</f>
        <v>----</v>
      </c>
      <c r="D11" s="98"/>
      <c r="E11" s="98"/>
      <c r="F11" s="98"/>
      <c r="G11" s="98"/>
      <c r="H11" s="103" t="s">
        <v>108</v>
      </c>
      <c r="I11" s="693" t="str">
        <f>IF('P1; Organize the PT'!C15="","",'P1; Organize the PT'!C15)</f>
        <v/>
      </c>
      <c r="J11" s="693"/>
      <c r="K11" s="693"/>
      <c r="L11" s="94"/>
    </row>
    <row r="12" spans="1:702" x14ac:dyDescent="0.25">
      <c r="A12" s="102"/>
      <c r="B12" s="103" t="s">
        <v>97</v>
      </c>
      <c r="C12" s="105" t="str">
        <f>IF('P1; Organize the PT'!C7="","",'P1; Organize the PT'!C7)</f>
        <v/>
      </c>
      <c r="D12" s="98"/>
      <c r="E12" s="98"/>
      <c r="F12" s="99"/>
      <c r="G12" s="99"/>
      <c r="H12" s="103" t="s">
        <v>389</v>
      </c>
      <c r="I12" s="693" t="str">
        <f>IF('P1; Organize the PT'!E15="","",'P1; Organize the PT'!E15)</f>
        <v/>
      </c>
      <c r="J12" s="693"/>
      <c r="K12" s="693"/>
      <c r="L12" s="94"/>
    </row>
    <row r="13" spans="1:702" x14ac:dyDescent="0.25">
      <c r="A13" s="102"/>
      <c r="B13" s="103" t="s">
        <v>98</v>
      </c>
      <c r="C13" s="105" t="str">
        <f>IF('P1; Organize the PT'!C8="","",'P1; Organize the PT'!C8)</f>
        <v/>
      </c>
      <c r="D13" s="98"/>
      <c r="E13" s="98"/>
      <c r="F13" s="99"/>
      <c r="G13" s="99"/>
      <c r="H13" s="103" t="s">
        <v>109</v>
      </c>
      <c r="I13" s="693" t="str">
        <f>IF('P1; Organize the PT'!C16="","",'P1; Organize the PT'!C16)</f>
        <v/>
      </c>
      <c r="J13" s="693"/>
      <c r="K13" s="693"/>
      <c r="L13" s="94"/>
    </row>
    <row r="14" spans="1:702" x14ac:dyDescent="0.25">
      <c r="A14" s="102"/>
      <c r="B14" s="103" t="s">
        <v>99</v>
      </c>
      <c r="C14" s="105" t="str">
        <f>IF('P1; Organize the PT'!C9="","",'P1; Organize the PT'!C9)</f>
        <v/>
      </c>
      <c r="D14" s="98"/>
      <c r="E14" s="98"/>
      <c r="F14" s="99"/>
      <c r="G14" s="99"/>
      <c r="H14" s="103" t="s">
        <v>389</v>
      </c>
      <c r="I14" s="693" t="str">
        <f>IF('P1; Organize the PT'!E16="","",'P1; Organize the PT'!E16)</f>
        <v/>
      </c>
      <c r="J14" s="693"/>
      <c r="K14" s="693"/>
      <c r="L14" s="94"/>
    </row>
    <row r="15" spans="1:702" x14ac:dyDescent="0.25">
      <c r="A15" s="102"/>
      <c r="B15" s="103" t="s">
        <v>100</v>
      </c>
      <c r="C15" s="105" t="str">
        <f>IF('P1; Organize the PT'!C10="","",'P1; Organize the PT'!C10)</f>
        <v/>
      </c>
      <c r="D15" s="98"/>
      <c r="E15" s="98"/>
      <c r="F15" s="99"/>
      <c r="G15" s="99"/>
      <c r="H15" s="103" t="s">
        <v>111</v>
      </c>
      <c r="I15" s="693" t="str">
        <f>IF('P1; Organize the PT'!C20="","",'P1; Organize the PT'!C20)</f>
        <v/>
      </c>
      <c r="J15" s="693"/>
      <c r="K15" s="693"/>
      <c r="L15" s="94"/>
    </row>
    <row r="16" spans="1:702" x14ac:dyDescent="0.25">
      <c r="A16" s="102"/>
      <c r="B16" s="103" t="s">
        <v>101</v>
      </c>
      <c r="C16" s="105" t="str">
        <f>IF('P1; Organize the PT'!C11="","",'P1; Organize the PT'!C11)</f>
        <v/>
      </c>
      <c r="D16" s="98"/>
      <c r="E16" s="98"/>
      <c r="F16" s="99"/>
      <c r="G16" s="99"/>
      <c r="H16" s="103" t="s">
        <v>389</v>
      </c>
      <c r="I16" s="694" t="str">
        <f>'P1; Organize the PT'!E20</f>
        <v>---</v>
      </c>
      <c r="J16" s="694"/>
      <c r="K16" s="694"/>
      <c r="L16" s="94"/>
    </row>
    <row r="17" spans="1:13" x14ac:dyDescent="0.25">
      <c r="A17" s="102"/>
      <c r="B17" s="103" t="s">
        <v>102</v>
      </c>
      <c r="C17" s="105" t="str">
        <f>IF('P1; Organize the PT'!C12="","",'P1; Organize the PT'!C12)</f>
        <v/>
      </c>
      <c r="D17" s="98"/>
      <c r="E17" s="98"/>
      <c r="F17" s="99"/>
      <c r="G17" s="99"/>
      <c r="H17" s="99"/>
      <c r="I17" s="101"/>
      <c r="J17" s="101"/>
      <c r="K17" s="101"/>
      <c r="L17" s="94"/>
    </row>
    <row r="18" spans="1:13" ht="29.1" customHeight="1" x14ac:dyDescent="0.25">
      <c r="A18" s="688" t="s">
        <v>520</v>
      </c>
      <c r="B18" s="688"/>
      <c r="C18" s="695" t="str">
        <f>IF('P2; Objectives &amp; Details'!B84="","-",'P2; Objectives &amp; Details'!B84)</f>
        <v>-</v>
      </c>
      <c r="D18" s="695"/>
      <c r="E18" s="695"/>
      <c r="F18" s="695"/>
      <c r="G18" s="695"/>
      <c r="H18" s="695"/>
      <c r="I18" s="695"/>
      <c r="J18" s="695"/>
      <c r="K18" s="695"/>
      <c r="L18" s="94"/>
    </row>
    <row r="19" spans="1:13" ht="18" customHeight="1" x14ac:dyDescent="0.25">
      <c r="A19" s="688" t="s">
        <v>521</v>
      </c>
      <c r="B19" s="688"/>
      <c r="C19" s="695" t="str">
        <f>IF('P2; Objectives &amp; Details'!B92="","-",'P2; Objectives &amp; Details'!B92)</f>
        <v>-</v>
      </c>
      <c r="D19" s="695"/>
      <c r="E19" s="695"/>
      <c r="F19" s="695"/>
      <c r="G19" s="695"/>
      <c r="H19" s="695"/>
      <c r="I19" s="695"/>
      <c r="J19" s="695"/>
      <c r="K19" s="695"/>
      <c r="L19" s="94"/>
    </row>
    <row r="20" spans="1:13" ht="10.5" customHeight="1" x14ac:dyDescent="0.25">
      <c r="A20" s="491"/>
      <c r="B20" s="491"/>
      <c r="C20" s="695" t="str">
        <f>IF('P2; Objectives &amp; Details'!B93="","",'P2; Objectives &amp; Details'!B93)</f>
        <v/>
      </c>
      <c r="D20" s="695"/>
      <c r="E20" s="695"/>
      <c r="F20" s="695"/>
      <c r="G20" s="695"/>
      <c r="H20" s="695"/>
      <c r="I20" s="695"/>
      <c r="J20" s="695"/>
      <c r="K20" s="695"/>
      <c r="L20" s="94"/>
    </row>
    <row r="21" spans="1:13" ht="18" x14ac:dyDescent="0.25">
      <c r="A21" s="102"/>
      <c r="B21" s="106" t="s">
        <v>522</v>
      </c>
      <c r="C21" s="704" t="str">
        <f>IF('P2; Objectives &amp; Details'!B95="","-",'P2; Objectives &amp; Details'!B95)</f>
        <v>100 %</v>
      </c>
      <c r="D21" s="704"/>
      <c r="E21" s="704"/>
      <c r="F21" s="704"/>
      <c r="G21" s="704"/>
      <c r="H21" s="704"/>
      <c r="I21" s="704"/>
      <c r="J21" s="704"/>
      <c r="K21" s="91"/>
      <c r="L21" s="94"/>
    </row>
    <row r="22" spans="1:13" ht="9" customHeight="1" x14ac:dyDescent="0.25">
      <c r="A22" s="91"/>
      <c r="B22" s="107"/>
      <c r="C22" s="217"/>
      <c r="D22" s="217"/>
      <c r="E22" s="217"/>
      <c r="F22" s="217"/>
      <c r="G22" s="217"/>
      <c r="H22" s="217"/>
      <c r="I22" s="217"/>
      <c r="J22" s="217"/>
      <c r="K22" s="91"/>
      <c r="L22" s="94"/>
    </row>
    <row r="23" spans="1:13" ht="15.75" x14ac:dyDescent="0.25">
      <c r="A23" s="108" t="s">
        <v>523</v>
      </c>
      <c r="B23" s="109"/>
      <c r="C23" s="109"/>
      <c r="D23" s="109"/>
      <c r="E23" s="109"/>
      <c r="F23" s="109"/>
      <c r="G23" s="109"/>
      <c r="H23" s="109"/>
      <c r="I23" s="109"/>
      <c r="J23" s="109"/>
      <c r="K23" s="110"/>
      <c r="L23" s="94"/>
    </row>
    <row r="24" spans="1:13" ht="22.5" customHeight="1" x14ac:dyDescent="0.25">
      <c r="A24" s="91"/>
      <c r="B24" s="103" t="s">
        <v>524</v>
      </c>
      <c r="C24" s="705" t="e">
        <f>'P3; Artifact &amp; Shipping'!B11</f>
        <v>#N/A</v>
      </c>
      <c r="D24" s="705"/>
      <c r="E24" s="705"/>
      <c r="F24" s="705"/>
      <c r="G24" s="111"/>
      <c r="H24" s="112" t="s">
        <v>525</v>
      </c>
      <c r="I24" s="705" t="e">
        <f>'P3; Artifact &amp; Shipping'!B26</f>
        <v>#N/A</v>
      </c>
      <c r="J24" s="705"/>
      <c r="K24" s="708"/>
      <c r="L24" s="94"/>
    </row>
    <row r="25" spans="1:13" x14ac:dyDescent="0.25">
      <c r="A25" s="91"/>
      <c r="B25" s="103" t="s">
        <v>526</v>
      </c>
      <c r="C25" s="706">
        <f>'P3; Artifact &amp; Shipping'!B10</f>
        <v>0</v>
      </c>
      <c r="D25" s="706"/>
      <c r="E25" s="706"/>
      <c r="F25" s="706"/>
      <c r="G25" s="113"/>
      <c r="H25" s="103" t="s">
        <v>527</v>
      </c>
      <c r="I25" s="707" t="e">
        <f>'P3; Artifact &amp; Shipping'!B13</f>
        <v>#N/A</v>
      </c>
      <c r="J25" s="707"/>
      <c r="K25" s="114"/>
      <c r="L25" s="94"/>
    </row>
    <row r="26" spans="1:13" x14ac:dyDescent="0.25">
      <c r="A26" s="91"/>
      <c r="B26" s="115" t="s">
        <v>394</v>
      </c>
      <c r="C26" s="707" t="e">
        <f>'P3; Artifact &amp; Shipping'!B12</f>
        <v>#N/A</v>
      </c>
      <c r="D26" s="707"/>
      <c r="E26" s="707"/>
      <c r="F26" s="707"/>
      <c r="G26" s="113"/>
      <c r="H26" s="103" t="s">
        <v>528</v>
      </c>
      <c r="I26" s="707" t="e">
        <f>'P3; Artifact &amp; Shipping'!B16</f>
        <v>#N/A</v>
      </c>
      <c r="J26" s="707"/>
      <c r="K26" s="114"/>
      <c r="L26" s="94"/>
    </row>
    <row r="27" spans="1:13" x14ac:dyDescent="0.25">
      <c r="A27" s="91"/>
      <c r="B27" s="116"/>
      <c r="C27" s="117"/>
      <c r="D27" s="117"/>
      <c r="E27" s="117"/>
      <c r="F27" s="117"/>
      <c r="G27" s="117"/>
      <c r="H27" s="103" t="s">
        <v>529</v>
      </c>
      <c r="I27" s="217" t="e">
        <f>'P3; Artifact &amp; Shipping'!B15</f>
        <v>#N/A</v>
      </c>
      <c r="J27" s="117"/>
      <c r="K27" s="118"/>
      <c r="L27" s="94"/>
    </row>
    <row r="28" spans="1:13" ht="36.950000000000003" customHeight="1" x14ac:dyDescent="0.25">
      <c r="A28" s="94"/>
      <c r="B28" s="119" t="s">
        <v>530</v>
      </c>
      <c r="C28" s="696"/>
      <c r="D28" s="696"/>
      <c r="E28" s="696"/>
      <c r="F28" s="696"/>
      <c r="G28" s="696"/>
      <c r="H28" s="696"/>
      <c r="I28" s="696"/>
      <c r="J28" s="696"/>
      <c r="K28" s="696"/>
      <c r="L28" s="94"/>
      <c r="M28" s="140"/>
    </row>
    <row r="29" spans="1:13" ht="15.75" x14ac:dyDescent="0.25">
      <c r="A29" s="120" t="s">
        <v>531</v>
      </c>
      <c r="B29" s="121"/>
      <c r="C29" s="121"/>
      <c r="D29" s="121"/>
      <c r="E29" s="121"/>
      <c r="F29" s="121"/>
      <c r="G29" s="121"/>
      <c r="H29" s="121"/>
      <c r="I29" s="121"/>
      <c r="J29" s="121"/>
      <c r="K29" s="122"/>
      <c r="L29" s="94"/>
    </row>
    <row r="30" spans="1:13" ht="15.75" x14ac:dyDescent="0.25">
      <c r="A30" s="123"/>
      <c r="B30" s="124" t="s">
        <v>532</v>
      </c>
      <c r="C30" s="702" t="str">
        <f ca="1">MID(CELL("filename"),SEARCH("[",CELL("filename"))+1, SEARCH("]",CELL("filename"))-SEARCH("[",CELL("filename"))-1)</f>
        <v>PTT01_PT-Plan-template_20260708.xlsx</v>
      </c>
      <c r="D30" s="702"/>
      <c r="E30" s="702"/>
      <c r="F30" s="702"/>
      <c r="G30" s="702"/>
      <c r="H30" s="702"/>
      <c r="I30" s="702"/>
      <c r="J30" s="702"/>
      <c r="K30" s="702"/>
      <c r="L30" s="94"/>
    </row>
    <row r="31" spans="1:13" x14ac:dyDescent="0.25">
      <c r="A31" s="91"/>
      <c r="B31" s="103" t="s">
        <v>533</v>
      </c>
      <c r="C31" s="703" t="str">
        <f>(IF('P2; Objectives &amp; Details'!B62="x",'P2; Objectives &amp; Details'!C62,IF('P2; Objectives &amp; Details'!B64="x",'P2; Objectives &amp; Details'!C64,IF('P2; Objectives &amp; Details'!B66="x",'P2; Objectives &amp; Details'!C66,IF('P2; Objectives &amp; Details'!B70=ISBLANK(FALSE),"",'P2; Objectives &amp; Details'!B70)))))</f>
        <v>Circular</v>
      </c>
      <c r="D31" s="703"/>
      <c r="E31" s="703"/>
      <c r="F31" s="703"/>
      <c r="G31" s="703"/>
      <c r="H31" s="703"/>
      <c r="I31" s="703"/>
      <c r="J31" s="703"/>
      <c r="K31" s="703"/>
      <c r="L31" s="94"/>
    </row>
    <row r="32" spans="1:13" ht="30" customHeight="1" x14ac:dyDescent="0.25">
      <c r="A32" s="91"/>
      <c r="B32" s="216" t="s">
        <v>1411</v>
      </c>
      <c r="C32" s="698" t="str">
        <f>CONCATENATE(IF('P2; Objectives &amp; Details'!$B$73="","-",'P2; Objectives &amp; Details'!$B$73),IF('P2; Objectives &amp; Details'!$B$74="",""," and "),'P2; Objectives &amp; Details'!$B$74,".")</f>
        <v>-.</v>
      </c>
      <c r="D32" s="699"/>
      <c r="E32" s="699"/>
      <c r="F32" s="699"/>
      <c r="G32" s="699"/>
      <c r="H32" s="699"/>
      <c r="I32" s="699"/>
      <c r="J32" s="699"/>
      <c r="K32" s="699"/>
      <c r="L32" s="94"/>
    </row>
    <row r="33" spans="1:15" ht="9" customHeight="1" x14ac:dyDescent="0.25">
      <c r="A33" s="91"/>
      <c r="B33" s="101"/>
      <c r="C33" s="98"/>
      <c r="D33" s="105"/>
      <c r="E33" s="98"/>
      <c r="F33" s="98"/>
      <c r="G33" s="98"/>
      <c r="H33" s="126"/>
      <c r="I33" s="98"/>
      <c r="J33" s="91"/>
      <c r="K33" s="91"/>
      <c r="L33" s="94"/>
    </row>
    <row r="34" spans="1:15" ht="15.75" x14ac:dyDescent="0.25">
      <c r="A34" s="120" t="s">
        <v>194</v>
      </c>
      <c r="B34" s="127"/>
      <c r="C34" s="127"/>
      <c r="D34" s="127"/>
      <c r="E34" s="127"/>
      <c r="F34" s="127"/>
      <c r="G34" s="127"/>
      <c r="H34" s="127"/>
      <c r="I34" s="121"/>
      <c r="J34" s="121"/>
      <c r="K34" s="121"/>
      <c r="L34" s="94"/>
    </row>
    <row r="35" spans="1:15" ht="50.25" customHeight="1" x14ac:dyDescent="0.25">
      <c r="A35" s="697" t="str">
        <f>CONCATENATE(IF('P2; Objectives &amp; Details'!B12="x",'P2; Objectives &amp; Details'!C12&amp;", ",""),IF('P2; Objectives &amp; Details'!B14="x",'P2; Objectives &amp; Details'!C14&amp;", ",""),IF('P2; Objectives &amp; Details'!B16="x",'P2; Objectives &amp; Details'!C16&amp;", ",""),IF('P2; Objectives &amp; Details'!B18="x",'P2; Objectives &amp; Details'!C18&amp;", ",""),IF('P2; Objectives &amp; Details'!B20="x",'P2; Objectives &amp; Details'!C20&amp;", ",""),IF('P2; Objectives &amp; Details'!B22="x",'P2; Objectives &amp; Details'!C22&amp;", ",""),IF('P2; Objectives &amp; Details'!B24="x",'P2; Objectives &amp; Details'!C24&amp;", ",""),IF('P2; Objectives &amp; Details'!B26="x",'P2; Objectives &amp; Details'!C26&amp;", ",""),IF('P2; Objectives &amp; Details'!B28="x",'P2; Objectives &amp; Details'!C28&amp;", ",""),IF('P2; Objectives &amp; Details'!B30=ISBLANK(FALSE),"",'P2; Objectives &amp; Details'!B30&amp;", "),IF('P2; Objectives &amp; Details'!B32=ISBLANK(FALSE),"",'P2; Objectives &amp; Details'!B32&amp;", "),IF('P2; Objectives &amp; Details'!B34=ISBLANK(FALSE),"End of Objectives.",'P2; Objectives &amp; Details'!B34&amp;"."))</f>
        <v>Demonstration of Competency for Accreditation or Recognition, Validation of Expanded Uncertainties, End of Objectives.</v>
      </c>
      <c r="B35" s="697"/>
      <c r="C35" s="697"/>
      <c r="D35" s="697"/>
      <c r="E35" s="697"/>
      <c r="F35" s="697"/>
      <c r="G35" s="697"/>
      <c r="H35" s="697"/>
      <c r="I35" s="697"/>
      <c r="J35" s="697"/>
      <c r="K35" s="697"/>
      <c r="L35" s="94"/>
    </row>
    <row r="36" spans="1:15" x14ac:dyDescent="0.25">
      <c r="A36" s="215"/>
      <c r="B36" s="215"/>
      <c r="C36" s="215"/>
      <c r="D36" s="215"/>
      <c r="E36" s="215"/>
      <c r="F36" s="215"/>
      <c r="G36" s="215"/>
      <c r="H36" s="215"/>
      <c r="I36" s="215"/>
      <c r="J36" s="215"/>
      <c r="K36" s="215"/>
      <c r="L36" s="94"/>
    </row>
    <row r="37" spans="1:15" ht="15.75" x14ac:dyDescent="0.25">
      <c r="A37" s="128" t="s">
        <v>534</v>
      </c>
      <c r="B37" s="129"/>
      <c r="C37" s="129"/>
      <c r="D37" s="129"/>
      <c r="E37" s="129"/>
      <c r="F37" s="129"/>
      <c r="G37" s="129"/>
      <c r="H37" s="129"/>
      <c r="I37" s="129"/>
      <c r="J37" s="129"/>
      <c r="K37" s="129"/>
      <c r="L37" s="94"/>
    </row>
    <row r="38" spans="1:15" ht="15.75" x14ac:dyDescent="0.25">
      <c r="A38" s="661" t="s">
        <v>535</v>
      </c>
      <c r="B38" s="661"/>
      <c r="C38" s="661"/>
      <c r="D38" s="661"/>
      <c r="E38" s="661"/>
      <c r="F38" s="661"/>
      <c r="G38" s="661"/>
      <c r="H38" s="661"/>
      <c r="I38" s="661"/>
      <c r="J38" s="661"/>
      <c r="K38" s="661"/>
      <c r="L38" s="94"/>
    </row>
    <row r="39" spans="1:15" ht="126" customHeight="1" x14ac:dyDescent="0.25">
      <c r="A39" s="662" t="s">
        <v>1589</v>
      </c>
      <c r="B39" s="662"/>
      <c r="C39" s="662"/>
      <c r="D39" s="662"/>
      <c r="E39" s="662"/>
      <c r="F39" s="662"/>
      <c r="G39" s="662"/>
      <c r="H39" s="662"/>
      <c r="I39" s="662"/>
      <c r="J39" s="662"/>
      <c r="K39" s="662"/>
      <c r="L39" s="94"/>
    </row>
    <row r="40" spans="1:15" ht="15.75" x14ac:dyDescent="0.25">
      <c r="A40" s="123" t="s">
        <v>536</v>
      </c>
      <c r="B40" s="92"/>
      <c r="C40" s="92"/>
      <c r="D40" s="92"/>
      <c r="E40" s="92"/>
      <c r="F40" s="92"/>
      <c r="G40" s="125"/>
      <c r="H40" s="91"/>
      <c r="I40" s="91"/>
      <c r="J40" s="91"/>
      <c r="K40" s="91"/>
      <c r="L40" s="94"/>
    </row>
    <row r="41" spans="1:15" ht="98.25" customHeight="1" x14ac:dyDescent="0.25">
      <c r="A41" s="700" t="s">
        <v>656</v>
      </c>
      <c r="B41" s="700"/>
      <c r="C41" s="700"/>
      <c r="D41" s="700"/>
      <c r="E41" s="700"/>
      <c r="F41" s="700"/>
      <c r="G41" s="700"/>
      <c r="H41" s="700"/>
      <c r="I41" s="700"/>
      <c r="J41" s="700"/>
      <c r="K41" s="700"/>
      <c r="L41" s="94"/>
    </row>
    <row r="42" spans="1:15" ht="15.75" x14ac:dyDescent="0.25">
      <c r="A42" s="123" t="s">
        <v>537</v>
      </c>
      <c r="B42" s="92"/>
      <c r="C42" s="92"/>
      <c r="D42" s="92"/>
      <c r="E42" s="92"/>
      <c r="F42" s="92"/>
      <c r="G42" s="125"/>
      <c r="H42" s="91"/>
      <c r="I42" s="91"/>
      <c r="J42" s="91"/>
      <c r="K42" s="91"/>
      <c r="L42" s="94"/>
    </row>
    <row r="43" spans="1:15" ht="80.25" customHeight="1" x14ac:dyDescent="0.25">
      <c r="A43" s="701" t="s">
        <v>657</v>
      </c>
      <c r="B43" s="701"/>
      <c r="C43" s="701"/>
      <c r="D43" s="701"/>
      <c r="E43" s="701"/>
      <c r="F43" s="701"/>
      <c r="G43" s="701"/>
      <c r="H43" s="701"/>
      <c r="I43" s="701"/>
      <c r="J43" s="701"/>
      <c r="K43" s="701"/>
      <c r="L43" s="94"/>
    </row>
    <row r="44" spans="1:15" ht="17.25" customHeight="1" x14ac:dyDescent="0.25">
      <c r="A44" s="478"/>
      <c r="B44" s="478"/>
      <c r="C44" s="478"/>
      <c r="D44" s="478"/>
      <c r="E44" s="478"/>
      <c r="F44" s="478"/>
      <c r="G44" s="478"/>
      <c r="H44" s="478"/>
      <c r="I44" s="478"/>
      <c r="J44" s="478"/>
      <c r="K44" s="478"/>
      <c r="L44" s="94"/>
    </row>
    <row r="45" spans="1:15" ht="16.5" thickBot="1" x14ac:dyDescent="0.3">
      <c r="A45" s="497" t="s">
        <v>538</v>
      </c>
      <c r="B45" s="498"/>
      <c r="C45" s="498"/>
      <c r="D45" s="498"/>
      <c r="E45" s="498"/>
      <c r="F45" s="498"/>
      <c r="G45" s="498"/>
      <c r="H45" s="498"/>
      <c r="I45" s="498"/>
      <c r="J45" s="498"/>
      <c r="K45" s="498"/>
      <c r="L45" s="493"/>
      <c r="M45" s="494"/>
      <c r="N45" s="494"/>
    </row>
    <row r="46" spans="1:15" ht="15" customHeight="1" thickBot="1" x14ac:dyDescent="0.3">
      <c r="A46" s="499" t="s">
        <v>1409</v>
      </c>
      <c r="B46" s="499"/>
      <c r="C46" s="657" t="s">
        <v>424</v>
      </c>
      <c r="D46" s="657"/>
      <c r="E46" s="657"/>
      <c r="F46" s="657"/>
      <c r="G46" s="658" t="s">
        <v>1017</v>
      </c>
      <c r="H46" s="658"/>
      <c r="I46" s="658"/>
      <c r="J46" s="658"/>
      <c r="K46" s="658"/>
      <c r="L46" s="492"/>
      <c r="M46" s="492"/>
      <c r="N46" s="492"/>
      <c r="O46" s="94"/>
    </row>
    <row r="47" spans="1:15" ht="15" customHeight="1" x14ac:dyDescent="0.25">
      <c r="A47" s="652" t="str">
        <f>'P1; Organize the PT'!$G32</f>
        <v/>
      </c>
      <c r="B47" s="653"/>
      <c r="C47" s="654" t="str">
        <f>IF('P1; Organize the PT'!F32="","",'P1; Organize the PT'!$F32)</f>
        <v/>
      </c>
      <c r="D47" s="654"/>
      <c r="E47" s="654"/>
      <c r="F47" s="654"/>
      <c r="G47" s="659" t="str">
        <f>IF('P1; Organize the PT'!D32="","",'P1; Organize the PT'!$D32)</f>
        <v/>
      </c>
      <c r="H47" s="659"/>
      <c r="I47" s="659"/>
      <c r="J47" s="659"/>
      <c r="K47" s="659"/>
      <c r="L47" s="510"/>
      <c r="M47" s="510"/>
      <c r="N47" s="510"/>
      <c r="O47" s="94"/>
    </row>
    <row r="48" spans="1:15" ht="15" customHeight="1" x14ac:dyDescent="0.25">
      <c r="A48" s="652" t="str">
        <f>'P1; Organize the PT'!$G33</f>
        <v/>
      </c>
      <c r="B48" s="653"/>
      <c r="C48" s="654" t="str">
        <f>IF('P1; Organize the PT'!F33="","",'P1; Organize the PT'!$F33)</f>
        <v/>
      </c>
      <c r="D48" s="654"/>
      <c r="E48" s="654"/>
      <c r="F48" s="654"/>
      <c r="G48" s="655" t="str">
        <f>IF('P1; Organize the PT'!D33="","",'P1; Organize the PT'!$D33)</f>
        <v/>
      </c>
      <c r="H48" s="655"/>
      <c r="I48" s="655"/>
      <c r="J48" s="655"/>
      <c r="K48" s="655"/>
      <c r="L48" s="510"/>
      <c r="M48" s="510"/>
      <c r="N48" s="510"/>
      <c r="O48" s="94"/>
    </row>
    <row r="49" spans="1:15" ht="15" customHeight="1" x14ac:dyDescent="0.25">
      <c r="A49" s="652" t="str">
        <f>'P1; Organize the PT'!$G34</f>
        <v/>
      </c>
      <c r="B49" s="653"/>
      <c r="C49" s="654" t="str">
        <f>IF('P1; Organize the PT'!F34="","",'P1; Organize the PT'!$F34)</f>
        <v/>
      </c>
      <c r="D49" s="654"/>
      <c r="E49" s="654"/>
      <c r="F49" s="654"/>
      <c r="G49" s="655" t="str">
        <f>IF('P1; Organize the PT'!D34="","",'P1; Organize the PT'!$D34)</f>
        <v/>
      </c>
      <c r="H49" s="655"/>
      <c r="I49" s="655"/>
      <c r="J49" s="655"/>
      <c r="K49" s="655"/>
      <c r="L49" s="510"/>
      <c r="M49" s="510"/>
      <c r="N49" s="510"/>
      <c r="O49" s="94"/>
    </row>
    <row r="50" spans="1:15" ht="15" customHeight="1" x14ac:dyDescent="0.25">
      <c r="A50" s="652" t="str">
        <f>'P1; Organize the PT'!$G35</f>
        <v/>
      </c>
      <c r="B50" s="653"/>
      <c r="C50" s="654" t="str">
        <f>IF('P1; Organize the PT'!F35="","",'P1; Organize the PT'!$F35)</f>
        <v/>
      </c>
      <c r="D50" s="654"/>
      <c r="E50" s="654"/>
      <c r="F50" s="654"/>
      <c r="G50" s="655" t="str">
        <f>IF('P1; Organize the PT'!D35="","",'P1; Organize the PT'!$D35)</f>
        <v/>
      </c>
      <c r="H50" s="655"/>
      <c r="I50" s="655"/>
      <c r="J50" s="655"/>
      <c r="K50" s="655"/>
      <c r="L50" s="510"/>
      <c r="M50" s="510"/>
      <c r="N50" s="510"/>
      <c r="O50" s="94"/>
    </row>
    <row r="51" spans="1:15" ht="15" customHeight="1" x14ac:dyDescent="0.25">
      <c r="A51" s="652" t="str">
        <f>'P1; Organize the PT'!$G36</f>
        <v/>
      </c>
      <c r="B51" s="653"/>
      <c r="C51" s="654" t="str">
        <f>IF('P1; Organize the PT'!F36="","",'P1; Organize the PT'!$F36)</f>
        <v/>
      </c>
      <c r="D51" s="654"/>
      <c r="E51" s="654"/>
      <c r="F51" s="654"/>
      <c r="G51" s="655" t="str">
        <f>IF('P1; Organize the PT'!D36="","",'P1; Organize the PT'!$D36)</f>
        <v/>
      </c>
      <c r="H51" s="655"/>
      <c r="I51" s="655"/>
      <c r="J51" s="655"/>
      <c r="K51" s="655"/>
      <c r="L51" s="510"/>
      <c r="M51" s="510"/>
      <c r="N51" s="510"/>
      <c r="O51" s="94"/>
    </row>
    <row r="52" spans="1:15" ht="15" customHeight="1" x14ac:dyDescent="0.25">
      <c r="A52" s="652" t="str">
        <f>'P1; Organize the PT'!$G37</f>
        <v/>
      </c>
      <c r="B52" s="653"/>
      <c r="C52" s="654" t="str">
        <f>IF('P1; Organize the PT'!F37="","",'P1; Organize the PT'!$F37)</f>
        <v/>
      </c>
      <c r="D52" s="654"/>
      <c r="E52" s="654"/>
      <c r="F52" s="654"/>
      <c r="G52" s="655" t="str">
        <f>IF('P1; Organize the PT'!D37="","",'P1; Organize the PT'!$D37)</f>
        <v/>
      </c>
      <c r="H52" s="655"/>
      <c r="I52" s="655"/>
      <c r="J52" s="655"/>
      <c r="K52" s="655"/>
      <c r="L52" s="510"/>
      <c r="M52" s="510"/>
      <c r="N52" s="510"/>
      <c r="O52" s="94"/>
    </row>
    <row r="53" spans="1:15" ht="15" customHeight="1" x14ac:dyDescent="0.25">
      <c r="A53" s="652" t="str">
        <f>'P1; Organize the PT'!$G38</f>
        <v/>
      </c>
      <c r="B53" s="653"/>
      <c r="C53" s="654" t="str">
        <f>IF('P1; Organize the PT'!F38="","",'P1; Organize the PT'!$F38)</f>
        <v/>
      </c>
      <c r="D53" s="654"/>
      <c r="E53" s="654"/>
      <c r="F53" s="654"/>
      <c r="G53" s="655" t="str">
        <f>IF('P1; Organize the PT'!D38="","",'P1; Organize the PT'!$D38)</f>
        <v/>
      </c>
      <c r="H53" s="655"/>
      <c r="I53" s="655"/>
      <c r="J53" s="655"/>
      <c r="K53" s="655"/>
      <c r="L53" s="510"/>
      <c r="M53" s="510"/>
      <c r="N53" s="510"/>
      <c r="O53" s="94"/>
    </row>
    <row r="54" spans="1:15" ht="15" customHeight="1" x14ac:dyDescent="0.25">
      <c r="A54" s="652" t="str">
        <f>'P1; Organize the PT'!$G39</f>
        <v/>
      </c>
      <c r="B54" s="653"/>
      <c r="C54" s="654" t="str">
        <f>IF('P1; Organize the PT'!F39="","",'P1; Organize the PT'!$F39)</f>
        <v/>
      </c>
      <c r="D54" s="654"/>
      <c r="E54" s="654"/>
      <c r="F54" s="654"/>
      <c r="G54" s="655" t="str">
        <f>IF('P1; Organize the PT'!D39="","",'P1; Organize the PT'!$D39)</f>
        <v/>
      </c>
      <c r="H54" s="655"/>
      <c r="I54" s="655"/>
      <c r="J54" s="655"/>
      <c r="K54" s="655"/>
      <c r="L54" s="510"/>
      <c r="M54" s="510"/>
      <c r="N54" s="510"/>
      <c r="O54" s="94"/>
    </row>
    <row r="55" spans="1:15" ht="15" customHeight="1" x14ac:dyDescent="0.25">
      <c r="A55" s="652" t="str">
        <f>'P1; Organize the PT'!$G40</f>
        <v/>
      </c>
      <c r="B55" s="653"/>
      <c r="C55" s="654" t="str">
        <f>IF('P1; Organize the PT'!F40="","",'P1; Organize the PT'!$F40)</f>
        <v/>
      </c>
      <c r="D55" s="654"/>
      <c r="E55" s="654"/>
      <c r="F55" s="654"/>
      <c r="G55" s="655" t="str">
        <f>IF('P1; Organize the PT'!D40="","",'P1; Organize the PT'!$D40)</f>
        <v/>
      </c>
      <c r="H55" s="655"/>
      <c r="I55" s="655"/>
      <c r="J55" s="655"/>
      <c r="K55" s="655"/>
      <c r="L55" s="510"/>
      <c r="M55" s="510"/>
      <c r="N55" s="510"/>
      <c r="O55" s="94"/>
    </row>
    <row r="56" spans="1:15" ht="15" customHeight="1" x14ac:dyDescent="0.25">
      <c r="A56" s="652" t="str">
        <f>'P1; Organize the PT'!$G41</f>
        <v/>
      </c>
      <c r="B56" s="653"/>
      <c r="C56" s="654" t="str">
        <f>IF('P1; Organize the PT'!F41="","",'P1; Organize the PT'!$F41)</f>
        <v/>
      </c>
      <c r="D56" s="654"/>
      <c r="E56" s="654"/>
      <c r="F56" s="654"/>
      <c r="G56" s="655" t="str">
        <f>IF('P1; Organize the PT'!D41="","",'P1; Organize the PT'!$D41)</f>
        <v/>
      </c>
      <c r="H56" s="655"/>
      <c r="I56" s="655"/>
      <c r="J56" s="655"/>
      <c r="K56" s="655"/>
      <c r="L56" s="510"/>
      <c r="M56" s="510"/>
      <c r="N56" s="510"/>
      <c r="O56" s="94"/>
    </row>
    <row r="57" spans="1:15" ht="15" customHeight="1" x14ac:dyDescent="0.25">
      <c r="A57" s="652" t="str">
        <f>'P1; Organize the PT'!$G42</f>
        <v/>
      </c>
      <c r="B57" s="653"/>
      <c r="C57" s="654" t="str">
        <f>IF('P1; Organize the PT'!F42="","",'P1; Organize the PT'!$F42)</f>
        <v/>
      </c>
      <c r="D57" s="654"/>
      <c r="E57" s="654"/>
      <c r="F57" s="654"/>
      <c r="G57" s="655" t="str">
        <f>IF('P1; Organize the PT'!D42="","",'P1; Organize the PT'!$D42)</f>
        <v/>
      </c>
      <c r="H57" s="655"/>
      <c r="I57" s="655"/>
      <c r="J57" s="655"/>
      <c r="K57" s="655"/>
      <c r="L57" s="510"/>
      <c r="M57" s="510"/>
      <c r="N57" s="510"/>
      <c r="O57" s="94"/>
    </row>
    <row r="58" spans="1:15" ht="15" customHeight="1" x14ac:dyDescent="0.25">
      <c r="A58" s="652" t="str">
        <f>'P1; Organize the PT'!$G43</f>
        <v/>
      </c>
      <c r="B58" s="653"/>
      <c r="C58" s="654" t="str">
        <f>IF('P1; Organize the PT'!F43="","",'P1; Organize the PT'!$F43)</f>
        <v/>
      </c>
      <c r="D58" s="654"/>
      <c r="E58" s="654"/>
      <c r="F58" s="654"/>
      <c r="G58" s="655" t="str">
        <f>IF('P1; Organize the PT'!D43="","",'P1; Organize the PT'!$D43)</f>
        <v/>
      </c>
      <c r="H58" s="655"/>
      <c r="I58" s="655"/>
      <c r="J58" s="655"/>
      <c r="K58" s="655"/>
      <c r="L58" s="510"/>
      <c r="M58" s="510"/>
      <c r="N58" s="510"/>
      <c r="O58" s="94"/>
    </row>
    <row r="59" spans="1:15" ht="15" customHeight="1" x14ac:dyDescent="0.25">
      <c r="A59" s="652" t="str">
        <f>'P1; Organize the PT'!$G44</f>
        <v/>
      </c>
      <c r="B59" s="653"/>
      <c r="C59" s="654" t="str">
        <f>IF('P1; Organize the PT'!F44="","",'P1; Organize the PT'!$F44)</f>
        <v/>
      </c>
      <c r="D59" s="654"/>
      <c r="E59" s="654"/>
      <c r="F59" s="654"/>
      <c r="G59" s="655" t="str">
        <f>IF('P1; Organize the PT'!D44="","",'P1; Organize the PT'!$D44)</f>
        <v/>
      </c>
      <c r="H59" s="655"/>
      <c r="I59" s="655"/>
      <c r="J59" s="655"/>
      <c r="K59" s="655"/>
      <c r="L59" s="510"/>
      <c r="M59" s="510"/>
      <c r="N59" s="510"/>
      <c r="O59" s="94"/>
    </row>
    <row r="60" spans="1:15" ht="15" customHeight="1" x14ac:dyDescent="0.25">
      <c r="A60" s="652" t="str">
        <f>'P1; Organize the PT'!$G45</f>
        <v/>
      </c>
      <c r="B60" s="653"/>
      <c r="C60" s="654" t="str">
        <f>IF('P1; Organize the PT'!F45="","",'P1; Organize the PT'!$F45)</f>
        <v/>
      </c>
      <c r="D60" s="654"/>
      <c r="E60" s="654"/>
      <c r="F60" s="654"/>
      <c r="G60" s="655" t="str">
        <f>IF('P1; Organize the PT'!D45="","",'P1; Organize the PT'!$D45)</f>
        <v/>
      </c>
      <c r="H60" s="655"/>
      <c r="I60" s="655"/>
      <c r="J60" s="655"/>
      <c r="K60" s="655"/>
      <c r="L60" s="510"/>
      <c r="M60" s="510"/>
      <c r="N60" s="510"/>
      <c r="O60" s="94"/>
    </row>
    <row r="61" spans="1:15" ht="15" customHeight="1" x14ac:dyDescent="0.25">
      <c r="A61" s="652" t="str">
        <f>'P1; Organize the PT'!$G46</f>
        <v/>
      </c>
      <c r="B61" s="653"/>
      <c r="C61" s="654" t="str">
        <f>IF('P1; Organize the PT'!F46="","",'P1; Organize the PT'!$F46)</f>
        <v/>
      </c>
      <c r="D61" s="654"/>
      <c r="E61" s="654"/>
      <c r="F61" s="654"/>
      <c r="G61" s="655" t="str">
        <f>IF('P1; Organize the PT'!D46="","",'P1; Organize the PT'!$D46)</f>
        <v/>
      </c>
      <c r="H61" s="655"/>
      <c r="I61" s="655"/>
      <c r="J61" s="655"/>
      <c r="K61" s="655"/>
      <c r="L61" s="510"/>
      <c r="M61" s="510"/>
      <c r="N61" s="510"/>
      <c r="O61" s="94"/>
    </row>
    <row r="62" spans="1:15" ht="15" customHeight="1" x14ac:dyDescent="0.25">
      <c r="A62" s="652" t="str">
        <f>'P1; Organize the PT'!$G47</f>
        <v/>
      </c>
      <c r="B62" s="653"/>
      <c r="C62" s="654" t="str">
        <f>IF('P1; Organize the PT'!F47="","",'P1; Organize the PT'!$F47)</f>
        <v/>
      </c>
      <c r="D62" s="654"/>
      <c r="E62" s="654"/>
      <c r="F62" s="654"/>
      <c r="G62" s="655" t="str">
        <f>IF('P1; Organize the PT'!D47="","",'P1; Organize the PT'!$D47)</f>
        <v/>
      </c>
      <c r="H62" s="655"/>
      <c r="I62" s="655"/>
      <c r="J62" s="655"/>
      <c r="K62" s="655"/>
      <c r="L62" s="510"/>
      <c r="M62" s="510"/>
      <c r="N62" s="510"/>
      <c r="O62" s="94"/>
    </row>
    <row r="63" spans="1:15" ht="15" customHeight="1" x14ac:dyDescent="0.25">
      <c r="A63" s="652" t="str">
        <f>'P1; Organize the PT'!$G48</f>
        <v/>
      </c>
      <c r="B63" s="653"/>
      <c r="C63" s="654" t="str">
        <f>IF('P1; Organize the PT'!F48="","",'P1; Organize the PT'!$F48)</f>
        <v/>
      </c>
      <c r="D63" s="654"/>
      <c r="E63" s="654"/>
      <c r="F63" s="654"/>
      <c r="G63" s="655" t="str">
        <f>IF('P1; Organize the PT'!D48="","",'P1; Organize the PT'!$D48)</f>
        <v/>
      </c>
      <c r="H63" s="655"/>
      <c r="I63" s="655"/>
      <c r="J63" s="655"/>
      <c r="K63" s="655"/>
      <c r="L63" s="510"/>
      <c r="M63" s="510"/>
      <c r="N63" s="510"/>
      <c r="O63" s="94"/>
    </row>
    <row r="64" spans="1:15" ht="15" customHeight="1" x14ac:dyDescent="0.25">
      <c r="A64" s="652" t="str">
        <f>'P1; Organize the PT'!$G49</f>
        <v/>
      </c>
      <c r="B64" s="653"/>
      <c r="C64" s="654" t="str">
        <f>IF('P1; Organize the PT'!F49="","",'P1; Organize the PT'!$F49)</f>
        <v/>
      </c>
      <c r="D64" s="654"/>
      <c r="E64" s="654"/>
      <c r="F64" s="654"/>
      <c r="G64" s="655" t="str">
        <f>IF('P1; Organize the PT'!D49="","",'P1; Organize the PT'!$D49)</f>
        <v/>
      </c>
      <c r="H64" s="655"/>
      <c r="I64" s="655"/>
      <c r="J64" s="655"/>
      <c r="K64" s="655"/>
      <c r="L64" s="496"/>
      <c r="M64" s="496"/>
      <c r="N64" s="496"/>
      <c r="O64" s="94"/>
    </row>
    <row r="65" spans="1:15" ht="15" customHeight="1" x14ac:dyDescent="0.25">
      <c r="A65" s="652" t="str">
        <f>'P1; Organize the PT'!$G50</f>
        <v/>
      </c>
      <c r="B65" s="653"/>
      <c r="C65" s="654" t="str">
        <f>IF('P1; Organize the PT'!F50="","",'P1; Organize the PT'!$F50)</f>
        <v/>
      </c>
      <c r="D65" s="654"/>
      <c r="E65" s="654"/>
      <c r="F65" s="654"/>
      <c r="G65" s="655" t="str">
        <f>IF('P1; Organize the PT'!D50="","",'P1; Organize the PT'!$D50)</f>
        <v/>
      </c>
      <c r="H65" s="655"/>
      <c r="I65" s="655"/>
      <c r="J65" s="655"/>
      <c r="K65" s="655"/>
      <c r="L65" s="496"/>
      <c r="M65" s="496"/>
      <c r="N65" s="496"/>
      <c r="O65" s="94"/>
    </row>
    <row r="66" spans="1:15" ht="15" customHeight="1" x14ac:dyDescent="0.25">
      <c r="A66" s="652" t="str">
        <f>'P1; Organize the PT'!$G51</f>
        <v/>
      </c>
      <c r="B66" s="653"/>
      <c r="C66" s="654" t="str">
        <f>IF('P1; Organize the PT'!F51="","",'P1; Organize the PT'!$F51)</f>
        <v/>
      </c>
      <c r="D66" s="654"/>
      <c r="E66" s="654"/>
      <c r="F66" s="654"/>
      <c r="G66" s="655" t="str">
        <f>IF('P1; Organize the PT'!D51="","",'P1; Organize the PT'!$D51)</f>
        <v/>
      </c>
      <c r="H66" s="655"/>
      <c r="I66" s="655"/>
      <c r="J66" s="655"/>
      <c r="K66" s="655"/>
      <c r="L66" s="496"/>
      <c r="M66" s="496"/>
      <c r="N66" s="496"/>
      <c r="O66" s="94"/>
    </row>
    <row r="67" spans="1:15" ht="15" customHeight="1" x14ac:dyDescent="0.25">
      <c r="A67" s="652" t="str">
        <f>'P1; Organize the PT'!$G52</f>
        <v/>
      </c>
      <c r="B67" s="653"/>
      <c r="C67" s="654" t="str">
        <f>IF('P1; Organize the PT'!F52="","",'P1; Organize the PT'!$F52)</f>
        <v/>
      </c>
      <c r="D67" s="654"/>
      <c r="E67" s="654"/>
      <c r="F67" s="654"/>
      <c r="G67" s="655" t="str">
        <f>IF('P1; Organize the PT'!D52="","",'P1; Organize the PT'!$D52)</f>
        <v/>
      </c>
      <c r="H67" s="655"/>
      <c r="I67" s="655"/>
      <c r="J67" s="655"/>
      <c r="K67" s="655"/>
      <c r="L67" s="496"/>
      <c r="M67" s="496"/>
      <c r="N67" s="496"/>
      <c r="O67" s="94"/>
    </row>
    <row r="68" spans="1:15" ht="15" customHeight="1" x14ac:dyDescent="0.25">
      <c r="A68" s="652" t="str">
        <f>'P1; Organize the PT'!$G53</f>
        <v/>
      </c>
      <c r="B68" s="653"/>
      <c r="C68" s="654" t="str">
        <f>IF('P1; Organize the PT'!F53="","",'P1; Organize the PT'!$F53)</f>
        <v/>
      </c>
      <c r="D68" s="654"/>
      <c r="E68" s="654"/>
      <c r="F68" s="654"/>
      <c r="G68" s="655" t="str">
        <f>IF('P1; Organize the PT'!D53="","",'P1; Organize the PT'!$D53)</f>
        <v/>
      </c>
      <c r="H68" s="655"/>
      <c r="I68" s="655"/>
      <c r="J68" s="655"/>
      <c r="K68" s="655"/>
      <c r="L68" s="496"/>
      <c r="M68" s="496"/>
      <c r="N68" s="496"/>
      <c r="O68" s="94"/>
    </row>
    <row r="69" spans="1:15" ht="15" customHeight="1" x14ac:dyDescent="0.25">
      <c r="A69" s="652" t="str">
        <f>'P1; Organize the PT'!$G54</f>
        <v/>
      </c>
      <c r="B69" s="653"/>
      <c r="C69" s="654" t="str">
        <f>IF('P1; Organize the PT'!F54="","",'P1; Organize the PT'!$F54)</f>
        <v/>
      </c>
      <c r="D69" s="654"/>
      <c r="E69" s="654"/>
      <c r="F69" s="654"/>
      <c r="G69" s="655" t="str">
        <f>IF('P1; Organize the PT'!D54="","",'P1; Organize the PT'!$D54)</f>
        <v/>
      </c>
      <c r="H69" s="655"/>
      <c r="I69" s="655"/>
      <c r="J69" s="655"/>
      <c r="K69" s="655"/>
      <c r="L69" s="496"/>
      <c r="M69" s="496"/>
      <c r="N69" s="496"/>
      <c r="O69" s="94"/>
    </row>
    <row r="70" spans="1:15" ht="15" customHeight="1" x14ac:dyDescent="0.25">
      <c r="A70" s="652" t="str">
        <f>'P1; Organize the PT'!$G55</f>
        <v/>
      </c>
      <c r="B70" s="653"/>
      <c r="C70" s="654" t="str">
        <f>IF('P1; Organize the PT'!F55="","",'P1; Organize the PT'!$F55)</f>
        <v/>
      </c>
      <c r="D70" s="654"/>
      <c r="E70" s="654"/>
      <c r="F70" s="654"/>
      <c r="G70" s="655" t="str">
        <f>IF('P1; Organize the PT'!D55="","",'P1; Organize the PT'!$D55)</f>
        <v/>
      </c>
      <c r="H70" s="655"/>
      <c r="I70" s="655"/>
      <c r="J70" s="655"/>
      <c r="K70" s="655"/>
      <c r="L70" s="496"/>
      <c r="M70" s="496"/>
      <c r="N70" s="496"/>
      <c r="O70" s="94"/>
    </row>
    <row r="71" spans="1:15" ht="15" customHeight="1" x14ac:dyDescent="0.25">
      <c r="A71" s="652" t="str">
        <f>'P1; Organize the PT'!$G56</f>
        <v/>
      </c>
      <c r="B71" s="653"/>
      <c r="C71" s="654" t="str">
        <f>IF('P1; Organize the PT'!F56="","",'P1; Organize the PT'!$F56)</f>
        <v/>
      </c>
      <c r="D71" s="654"/>
      <c r="E71" s="654"/>
      <c r="F71" s="654"/>
      <c r="G71" s="655" t="str">
        <f>IF('P1; Organize the PT'!D56="","",'P1; Organize the PT'!$D56)</f>
        <v/>
      </c>
      <c r="H71" s="655"/>
      <c r="I71" s="655"/>
      <c r="J71" s="655"/>
      <c r="K71" s="655"/>
      <c r="L71" s="496"/>
      <c r="M71" s="496"/>
      <c r="N71" s="496"/>
      <c r="O71" s="94"/>
    </row>
    <row r="72" spans="1:15" ht="15" customHeight="1" x14ac:dyDescent="0.25">
      <c r="A72" s="652" t="str">
        <f>'P1; Organize the PT'!$G57</f>
        <v/>
      </c>
      <c r="B72" s="653"/>
      <c r="C72" s="654" t="str">
        <f>IF('P1; Organize the PT'!F57="","",'P1; Organize the PT'!$F57)</f>
        <v/>
      </c>
      <c r="D72" s="654"/>
      <c r="E72" s="654"/>
      <c r="F72" s="654"/>
      <c r="G72" s="655" t="str">
        <f>IF('P1; Organize the PT'!D57="","",'P1; Organize the PT'!$D57)</f>
        <v/>
      </c>
      <c r="H72" s="655"/>
      <c r="I72" s="655"/>
      <c r="J72" s="655"/>
      <c r="K72" s="655"/>
      <c r="L72" s="496"/>
      <c r="M72" s="496"/>
      <c r="N72" s="496"/>
      <c r="O72" s="94"/>
    </row>
    <row r="73" spans="1:15" ht="15" customHeight="1" x14ac:dyDescent="0.25">
      <c r="A73" s="652" t="str">
        <f>'P1; Organize the PT'!$G58</f>
        <v/>
      </c>
      <c r="B73" s="653"/>
      <c r="C73" s="654" t="str">
        <f>IF('P1; Organize the PT'!F58="","",'P1; Organize the PT'!$F58)</f>
        <v/>
      </c>
      <c r="D73" s="654"/>
      <c r="E73" s="654"/>
      <c r="F73" s="654"/>
      <c r="G73" s="655" t="str">
        <f>IF('P1; Organize the PT'!D58="","",'P1; Organize the PT'!$D58)</f>
        <v/>
      </c>
      <c r="H73" s="655"/>
      <c r="I73" s="655"/>
      <c r="J73" s="655"/>
      <c r="K73" s="655"/>
      <c r="L73" s="496"/>
      <c r="M73" s="496"/>
      <c r="N73" s="496"/>
      <c r="O73" s="94"/>
    </row>
    <row r="74" spans="1:15" ht="15" customHeight="1" x14ac:dyDescent="0.25">
      <c r="A74" s="652" t="str">
        <f>'P1; Organize the PT'!$G59</f>
        <v/>
      </c>
      <c r="B74" s="653"/>
      <c r="C74" s="654" t="str">
        <f>IF('P1; Organize the PT'!F59="","",'P1; Organize the PT'!$F59)</f>
        <v/>
      </c>
      <c r="D74" s="654"/>
      <c r="E74" s="654"/>
      <c r="F74" s="654"/>
      <c r="G74" s="655" t="str">
        <f>IF('P1; Organize the PT'!D59="","",'P1; Organize the PT'!$D59)</f>
        <v/>
      </c>
      <c r="H74" s="655"/>
      <c r="I74" s="655"/>
      <c r="J74" s="655"/>
      <c r="K74" s="655"/>
      <c r="L74" s="496"/>
      <c r="M74" s="496"/>
      <c r="N74" s="496"/>
      <c r="O74" s="94"/>
    </row>
    <row r="75" spans="1:15" ht="15" customHeight="1" x14ac:dyDescent="0.25">
      <c r="A75" s="652" t="str">
        <f>'P1; Organize the PT'!$G60</f>
        <v/>
      </c>
      <c r="B75" s="653"/>
      <c r="C75" s="654" t="str">
        <f>IF('P1; Organize the PT'!F60="","",'P1; Organize the PT'!$F60)</f>
        <v/>
      </c>
      <c r="D75" s="654"/>
      <c r="E75" s="654"/>
      <c r="F75" s="654"/>
      <c r="G75" s="655" t="str">
        <f>IF('P1; Organize the PT'!D60="","",'P1; Organize the PT'!$D60)</f>
        <v/>
      </c>
      <c r="H75" s="655"/>
      <c r="I75" s="655"/>
      <c r="J75" s="655"/>
      <c r="K75" s="655"/>
      <c r="L75" s="496"/>
      <c r="M75" s="496"/>
      <c r="N75" s="496"/>
      <c r="O75" s="94"/>
    </row>
    <row r="76" spans="1:15" ht="15" customHeight="1" x14ac:dyDescent="0.25">
      <c r="A76" s="652" t="str">
        <f>'P1; Organize the PT'!$G61</f>
        <v/>
      </c>
      <c r="B76" s="653"/>
      <c r="C76" s="654" t="str">
        <f>IF('P1; Organize the PT'!F61="","",'P1; Organize the PT'!$F61)</f>
        <v/>
      </c>
      <c r="D76" s="654"/>
      <c r="E76" s="654"/>
      <c r="F76" s="654"/>
      <c r="G76" s="655" t="str">
        <f>IF('P1; Organize the PT'!D61="","",'P1; Organize the PT'!$D61)</f>
        <v/>
      </c>
      <c r="H76" s="655"/>
      <c r="I76" s="655"/>
      <c r="J76" s="655"/>
      <c r="K76" s="655"/>
      <c r="L76" s="496"/>
      <c r="M76" s="496"/>
      <c r="N76" s="496"/>
      <c r="O76" s="94"/>
    </row>
    <row r="77" spans="1:15" ht="15" customHeight="1" x14ac:dyDescent="0.25">
      <c r="A77" s="652" t="str">
        <f>'P1; Organize the PT'!$G62</f>
        <v/>
      </c>
      <c r="B77" s="653"/>
      <c r="C77" s="654" t="str">
        <f>IF('P1; Organize the PT'!F62="","",'P1; Organize the PT'!$F62)</f>
        <v/>
      </c>
      <c r="D77" s="654"/>
      <c r="E77" s="654"/>
      <c r="F77" s="654"/>
      <c r="G77" s="655" t="str">
        <f>IF('P1; Organize the PT'!D62="","",'P1; Organize the PT'!$D62)</f>
        <v/>
      </c>
      <c r="H77" s="655"/>
      <c r="I77" s="655"/>
      <c r="J77" s="655"/>
      <c r="K77" s="655"/>
      <c r="L77" s="496"/>
      <c r="M77" s="496"/>
      <c r="N77" s="496"/>
      <c r="O77" s="94"/>
    </row>
    <row r="78" spans="1:15" ht="15" customHeight="1" x14ac:dyDescent="0.25">
      <c r="A78" s="652" t="str">
        <f>'P1; Organize the PT'!$G63</f>
        <v/>
      </c>
      <c r="B78" s="653"/>
      <c r="C78" s="654" t="str">
        <f>IF('P1; Organize the PT'!F63="","",'P1; Organize the PT'!$F63)</f>
        <v/>
      </c>
      <c r="D78" s="654"/>
      <c r="E78" s="654"/>
      <c r="F78" s="654"/>
      <c r="G78" s="655" t="str">
        <f>IF('P1; Organize the PT'!D63="","",'P1; Organize the PT'!$D63)</f>
        <v/>
      </c>
      <c r="H78" s="655"/>
      <c r="I78" s="655"/>
      <c r="J78" s="655"/>
      <c r="K78" s="655"/>
      <c r="L78" s="496"/>
      <c r="M78" s="496"/>
      <c r="N78" s="496"/>
      <c r="O78" s="94"/>
    </row>
    <row r="79" spans="1:15" ht="15" customHeight="1" x14ac:dyDescent="0.25">
      <c r="A79" s="652" t="str">
        <f>'P1; Organize the PT'!$G64</f>
        <v/>
      </c>
      <c r="B79" s="653"/>
      <c r="C79" s="654" t="str">
        <f>IF('P1; Organize the PT'!F64="","",'P1; Organize the PT'!$F64)</f>
        <v/>
      </c>
      <c r="D79" s="654"/>
      <c r="E79" s="654"/>
      <c r="F79" s="654"/>
      <c r="G79" s="655" t="str">
        <f>IF('P1; Organize the PT'!D64="","",'P1; Organize the PT'!$D64)</f>
        <v/>
      </c>
      <c r="H79" s="655"/>
      <c r="I79" s="655"/>
      <c r="J79" s="655"/>
      <c r="K79" s="655"/>
      <c r="L79" s="496"/>
      <c r="M79" s="496"/>
      <c r="N79" s="496"/>
      <c r="O79" s="94"/>
    </row>
    <row r="80" spans="1:15" ht="15" customHeight="1" x14ac:dyDescent="0.25">
      <c r="A80" s="652" t="str">
        <f>'P1; Organize the PT'!$G65</f>
        <v/>
      </c>
      <c r="B80" s="653"/>
      <c r="C80" s="654" t="str">
        <f>IF('P1; Organize the PT'!F65="","",'P1; Organize the PT'!$F65)</f>
        <v/>
      </c>
      <c r="D80" s="654"/>
      <c r="E80" s="654"/>
      <c r="F80" s="654"/>
      <c r="G80" s="655" t="str">
        <f>IF('P1; Organize the PT'!D65="","",'P1; Organize the PT'!$D65)</f>
        <v/>
      </c>
      <c r="H80" s="655"/>
      <c r="I80" s="655"/>
      <c r="J80" s="655"/>
      <c r="K80" s="655"/>
      <c r="L80" s="496"/>
      <c r="M80" s="496"/>
      <c r="N80" s="496"/>
      <c r="O80" s="94"/>
    </row>
    <row r="81" spans="1:15" ht="15" customHeight="1" x14ac:dyDescent="0.25">
      <c r="A81" s="652" t="str">
        <f>'P1; Organize the PT'!$G66</f>
        <v/>
      </c>
      <c r="B81" s="653"/>
      <c r="C81" s="654" t="str">
        <f>IF('P1; Organize the PT'!F66="","",'P1; Organize the PT'!$F66)</f>
        <v/>
      </c>
      <c r="D81" s="654"/>
      <c r="E81" s="654"/>
      <c r="F81" s="654"/>
      <c r="G81" s="655" t="str">
        <f>IF('P1; Organize the PT'!D66="","",'P1; Organize the PT'!$D66)</f>
        <v/>
      </c>
      <c r="H81" s="655"/>
      <c r="I81" s="655"/>
      <c r="J81" s="655"/>
      <c r="K81" s="655"/>
      <c r="L81" s="496"/>
      <c r="M81" s="496"/>
      <c r="N81" s="496"/>
      <c r="O81" s="94"/>
    </row>
    <row r="82" spans="1:15" ht="15" customHeight="1" x14ac:dyDescent="0.25">
      <c r="A82" s="652" t="str">
        <f>'P1; Organize the PT'!$G67</f>
        <v/>
      </c>
      <c r="B82" s="653"/>
      <c r="C82" s="654" t="str">
        <f>IF('P1; Organize the PT'!F67="","",'P1; Organize the PT'!$F67)</f>
        <v/>
      </c>
      <c r="D82" s="654"/>
      <c r="E82" s="654"/>
      <c r="F82" s="654"/>
      <c r="G82" s="655" t="str">
        <f>IF('P1; Organize the PT'!D67="","",'P1; Organize the PT'!$D67)</f>
        <v/>
      </c>
      <c r="H82" s="655"/>
      <c r="I82" s="655"/>
      <c r="J82" s="655"/>
      <c r="K82" s="655"/>
      <c r="L82" s="496"/>
      <c r="M82" s="496"/>
      <c r="N82" s="496"/>
      <c r="O82" s="94"/>
    </row>
    <row r="83" spans="1:15" ht="15" customHeight="1" x14ac:dyDescent="0.25">
      <c r="A83" s="652" t="str">
        <f>'P1; Organize the PT'!$G68</f>
        <v/>
      </c>
      <c r="B83" s="653"/>
      <c r="C83" s="654" t="str">
        <f>IF('P1; Organize the PT'!F68="","",'P1; Organize the PT'!$F68)</f>
        <v/>
      </c>
      <c r="D83" s="654"/>
      <c r="E83" s="654"/>
      <c r="F83" s="654"/>
      <c r="G83" s="655" t="str">
        <f>IF('P1; Organize the PT'!D68="","",'P1; Organize the PT'!$D68)</f>
        <v/>
      </c>
      <c r="H83" s="655"/>
      <c r="I83" s="655"/>
      <c r="J83" s="655"/>
      <c r="K83" s="655"/>
      <c r="L83" s="496"/>
      <c r="M83" s="496"/>
      <c r="N83" s="496"/>
      <c r="O83" s="94"/>
    </row>
    <row r="84" spans="1:15" ht="15" customHeight="1" x14ac:dyDescent="0.25">
      <c r="A84" s="652" t="str">
        <f>'P1; Organize the PT'!$G69</f>
        <v/>
      </c>
      <c r="B84" s="653"/>
      <c r="C84" s="654" t="str">
        <f>IF('P1; Organize the PT'!F69="","",'P1; Organize the PT'!$F69)</f>
        <v/>
      </c>
      <c r="D84" s="654"/>
      <c r="E84" s="654"/>
      <c r="F84" s="654"/>
      <c r="G84" s="655" t="str">
        <f>IF('P1; Organize the PT'!D69="","",'P1; Organize the PT'!$D69)</f>
        <v/>
      </c>
      <c r="H84" s="655"/>
      <c r="I84" s="655"/>
      <c r="J84" s="655"/>
      <c r="K84" s="655"/>
      <c r="L84" s="496"/>
      <c r="M84" s="496"/>
      <c r="N84" s="496"/>
      <c r="O84" s="94"/>
    </row>
    <row r="85" spans="1:15" ht="15" customHeight="1" x14ac:dyDescent="0.25">
      <c r="A85" s="652" t="str">
        <f>'P1; Organize the PT'!$G70</f>
        <v/>
      </c>
      <c r="B85" s="653"/>
      <c r="C85" s="654" t="str">
        <f>IF('P1; Organize the PT'!F70="","",'P1; Organize the PT'!$F70)</f>
        <v/>
      </c>
      <c r="D85" s="654"/>
      <c r="E85" s="654"/>
      <c r="F85" s="654"/>
      <c r="G85" s="655" t="str">
        <f>IF('P1; Organize the PT'!D70="","",'P1; Organize the PT'!$D70)</f>
        <v/>
      </c>
      <c r="H85" s="655"/>
      <c r="I85" s="655"/>
      <c r="J85" s="655"/>
      <c r="K85" s="655"/>
      <c r="L85" s="496"/>
      <c r="M85" s="496"/>
      <c r="N85" s="496"/>
      <c r="O85" s="94"/>
    </row>
    <row r="86" spans="1:15" ht="15" customHeight="1" x14ac:dyDescent="0.25">
      <c r="A86" s="652" t="str">
        <f>'P1; Organize the PT'!$G71</f>
        <v/>
      </c>
      <c r="B86" s="653"/>
      <c r="C86" s="654" t="str">
        <f>IF('P1; Organize the PT'!F71="","",'P1; Organize the PT'!$F71)</f>
        <v/>
      </c>
      <c r="D86" s="654"/>
      <c r="E86" s="654"/>
      <c r="F86" s="654"/>
      <c r="G86" s="655" t="str">
        <f>IF('P1; Organize the PT'!D71="","",'P1; Organize the PT'!$D71)</f>
        <v/>
      </c>
      <c r="H86" s="655"/>
      <c r="I86" s="655"/>
      <c r="J86" s="655"/>
      <c r="K86" s="655"/>
      <c r="L86" s="496"/>
      <c r="M86" s="496"/>
      <c r="N86" s="496"/>
      <c r="O86" s="94"/>
    </row>
    <row r="87" spans="1:15" ht="15" customHeight="1" x14ac:dyDescent="0.25">
      <c r="A87" s="652" t="str">
        <f>'P1; Organize the PT'!$G72</f>
        <v/>
      </c>
      <c r="B87" s="653"/>
      <c r="C87" s="654" t="str">
        <f>IF('P1; Organize the PT'!F72="","",'P1; Organize the PT'!$F72)</f>
        <v/>
      </c>
      <c r="D87" s="654"/>
      <c r="E87" s="654"/>
      <c r="F87" s="654"/>
      <c r="G87" s="655" t="str">
        <f>IF('P1; Organize the PT'!D72="","",'P1; Organize the PT'!$D72)</f>
        <v/>
      </c>
      <c r="H87" s="655"/>
      <c r="I87" s="655"/>
      <c r="J87" s="655"/>
      <c r="K87" s="655"/>
      <c r="L87" s="496"/>
      <c r="M87" s="496"/>
      <c r="N87" s="496"/>
      <c r="O87" s="94"/>
    </row>
    <row r="88" spans="1:15" ht="15" customHeight="1" x14ac:dyDescent="0.25">
      <c r="A88" s="652" t="str">
        <f>'P1; Organize the PT'!$G73</f>
        <v/>
      </c>
      <c r="B88" s="653"/>
      <c r="C88" s="654" t="str">
        <f>IF('P1; Organize the PT'!F73="","",'P1; Organize the PT'!$F73)</f>
        <v/>
      </c>
      <c r="D88" s="654"/>
      <c r="E88" s="654"/>
      <c r="F88" s="654"/>
      <c r="G88" s="655" t="str">
        <f>IF('P1; Organize the PT'!D73="","",'P1; Organize the PT'!$D73)</f>
        <v/>
      </c>
      <c r="H88" s="655"/>
      <c r="I88" s="655"/>
      <c r="J88" s="655"/>
      <c r="K88" s="655"/>
      <c r="L88" s="496"/>
      <c r="M88" s="496"/>
      <c r="N88" s="496"/>
      <c r="O88" s="94"/>
    </row>
    <row r="89" spans="1:15" ht="15" customHeight="1" x14ac:dyDescent="0.25">
      <c r="A89" s="652" t="str">
        <f>'P1; Organize the PT'!$G74</f>
        <v/>
      </c>
      <c r="B89" s="653"/>
      <c r="C89" s="654" t="str">
        <f>IF('P1; Organize the PT'!F74="","",'P1; Organize the PT'!$F74)</f>
        <v/>
      </c>
      <c r="D89" s="654"/>
      <c r="E89" s="654"/>
      <c r="F89" s="654"/>
      <c r="G89" s="655" t="str">
        <f>IF('P1; Organize the PT'!D74="","",'P1; Organize the PT'!$D74)</f>
        <v/>
      </c>
      <c r="H89" s="655"/>
      <c r="I89" s="655"/>
      <c r="J89" s="655"/>
      <c r="K89" s="655"/>
      <c r="L89" s="496"/>
      <c r="M89" s="496"/>
      <c r="N89" s="496"/>
      <c r="O89" s="94"/>
    </row>
    <row r="90" spans="1:15" ht="15" customHeight="1" x14ac:dyDescent="0.25">
      <c r="A90" s="652" t="str">
        <f>'P1; Organize the PT'!$G75</f>
        <v/>
      </c>
      <c r="B90" s="653"/>
      <c r="C90" s="654" t="str">
        <f>IF('P1; Organize the PT'!F75="","",'P1; Organize the PT'!$F75)</f>
        <v/>
      </c>
      <c r="D90" s="654"/>
      <c r="E90" s="654"/>
      <c r="F90" s="654"/>
      <c r="G90" s="655" t="str">
        <f>IF('P1; Organize the PT'!D75="","",'P1; Organize the PT'!$D75)</f>
        <v/>
      </c>
      <c r="H90" s="655"/>
      <c r="I90" s="655"/>
      <c r="J90" s="655"/>
      <c r="K90" s="655"/>
      <c r="L90" s="496"/>
      <c r="M90" s="496"/>
      <c r="N90" s="496"/>
      <c r="O90" s="94"/>
    </row>
    <row r="91" spans="1:15" ht="15" customHeight="1" x14ac:dyDescent="0.25">
      <c r="A91" s="652" t="str">
        <f>'P1; Organize the PT'!$G76</f>
        <v/>
      </c>
      <c r="B91" s="653"/>
      <c r="C91" s="654" t="str">
        <f>IF('P1; Organize the PT'!F76="","",'P1; Organize the PT'!$F76)</f>
        <v/>
      </c>
      <c r="D91" s="654"/>
      <c r="E91" s="654"/>
      <c r="F91" s="654"/>
      <c r="G91" s="655" t="str">
        <f>IF('P1; Organize the PT'!D76="","",'P1; Organize the PT'!$D76)</f>
        <v/>
      </c>
      <c r="H91" s="655"/>
      <c r="I91" s="655"/>
      <c r="J91" s="655"/>
      <c r="K91" s="655"/>
      <c r="L91" s="496"/>
      <c r="M91" s="496"/>
      <c r="N91" s="496"/>
      <c r="O91" s="94"/>
    </row>
    <row r="92" spans="1:15" ht="15" customHeight="1" x14ac:dyDescent="0.25">
      <c r="A92" s="652" t="str">
        <f>'P1; Organize the PT'!$G77</f>
        <v/>
      </c>
      <c r="B92" s="653"/>
      <c r="C92" s="654" t="str">
        <f>IF('P1; Organize the PT'!F77="","",'P1; Organize the PT'!$F77)</f>
        <v/>
      </c>
      <c r="D92" s="654"/>
      <c r="E92" s="654"/>
      <c r="F92" s="654"/>
      <c r="G92" s="655" t="str">
        <f>IF('P1; Organize the PT'!D77="","",'P1; Organize the PT'!$D77)</f>
        <v/>
      </c>
      <c r="H92" s="655"/>
      <c r="I92" s="655"/>
      <c r="J92" s="655"/>
      <c r="K92" s="655"/>
      <c r="L92" s="496"/>
      <c r="M92" s="496"/>
      <c r="N92" s="496"/>
      <c r="O92" s="94"/>
    </row>
    <row r="93" spans="1:15" ht="15" customHeight="1" x14ac:dyDescent="0.25">
      <c r="A93" s="652" t="str">
        <f>'P1; Organize the PT'!$G78</f>
        <v/>
      </c>
      <c r="B93" s="653"/>
      <c r="C93" s="654" t="str">
        <f>IF('P1; Organize the PT'!F78="","",'P1; Organize the PT'!$F78)</f>
        <v/>
      </c>
      <c r="D93" s="654"/>
      <c r="E93" s="654"/>
      <c r="F93" s="654"/>
      <c r="G93" s="655" t="str">
        <f>IF('P1; Organize the PT'!D78="","",'P1; Organize the PT'!$D78)</f>
        <v/>
      </c>
      <c r="H93" s="655"/>
      <c r="I93" s="655"/>
      <c r="J93" s="655"/>
      <c r="K93" s="655"/>
      <c r="L93" s="496"/>
      <c r="M93" s="496"/>
      <c r="N93" s="496"/>
      <c r="O93" s="94"/>
    </row>
    <row r="94" spans="1:15" ht="15" customHeight="1" x14ac:dyDescent="0.25">
      <c r="A94" s="652" t="str">
        <f>'P1; Organize the PT'!$G79</f>
        <v/>
      </c>
      <c r="B94" s="653"/>
      <c r="C94" s="654" t="str">
        <f>IF('P1; Organize the PT'!F79="","",'P1; Organize the PT'!$F79)</f>
        <v/>
      </c>
      <c r="D94" s="654"/>
      <c r="E94" s="654"/>
      <c r="F94" s="654"/>
      <c r="G94" s="655" t="str">
        <f>IF('P1; Organize the PT'!D79="","",'P1; Organize the PT'!$D79)</f>
        <v/>
      </c>
      <c r="H94" s="655"/>
      <c r="I94" s="655"/>
      <c r="J94" s="655"/>
      <c r="K94" s="655"/>
      <c r="L94" s="496"/>
      <c r="M94" s="496"/>
      <c r="N94" s="496"/>
      <c r="O94" s="94"/>
    </row>
    <row r="95" spans="1:15" ht="15" customHeight="1" x14ac:dyDescent="0.25">
      <c r="A95" s="652" t="str">
        <f>'P1; Organize the PT'!$G80</f>
        <v/>
      </c>
      <c r="B95" s="653"/>
      <c r="C95" s="654" t="str">
        <f>IF('P1; Organize the PT'!F80="","",'P1; Organize the PT'!$F80)</f>
        <v/>
      </c>
      <c r="D95" s="654"/>
      <c r="E95" s="654"/>
      <c r="F95" s="654"/>
      <c r="G95" s="655" t="str">
        <f>IF('P1; Organize the PT'!D80="","",'P1; Organize the PT'!$D80)</f>
        <v/>
      </c>
      <c r="H95" s="655"/>
      <c r="I95" s="655"/>
      <c r="J95" s="655"/>
      <c r="K95" s="655"/>
      <c r="L95" s="496"/>
      <c r="M95" s="496"/>
      <c r="N95" s="496"/>
      <c r="O95" s="94"/>
    </row>
    <row r="96" spans="1:15" ht="15" customHeight="1" x14ac:dyDescent="0.25">
      <c r="A96" s="652" t="str">
        <f>'P1; Organize the PT'!$G81</f>
        <v/>
      </c>
      <c r="B96" s="653"/>
      <c r="C96" s="654" t="str">
        <f>IF('P1; Organize the PT'!F81="","",'P1; Organize the PT'!$F81)</f>
        <v/>
      </c>
      <c r="D96" s="654"/>
      <c r="E96" s="654"/>
      <c r="F96" s="654"/>
      <c r="G96" s="655" t="str">
        <f>IF('P1; Organize the PT'!D81="","",'P1; Organize the PT'!$D81)</f>
        <v/>
      </c>
      <c r="H96" s="655"/>
      <c r="I96" s="655"/>
      <c r="J96" s="655"/>
      <c r="K96" s="655"/>
      <c r="L96" s="496"/>
      <c r="M96" s="496"/>
      <c r="N96" s="496"/>
      <c r="O96" s="94"/>
    </row>
    <row r="97" spans="1:15" ht="15" customHeight="1" x14ac:dyDescent="0.25">
      <c r="A97" s="652" t="str">
        <f>'P1; Organize the PT'!$G82</f>
        <v/>
      </c>
      <c r="B97" s="653"/>
      <c r="C97" s="654" t="str">
        <f>IF('P1; Organize the PT'!F82="","",'P1; Organize the PT'!$F82)</f>
        <v/>
      </c>
      <c r="D97" s="654"/>
      <c r="E97" s="654"/>
      <c r="F97" s="654"/>
      <c r="G97" s="655" t="str">
        <f>IF('P1; Organize the PT'!D82="","",'P1; Organize the PT'!$D82)</f>
        <v/>
      </c>
      <c r="H97" s="655"/>
      <c r="I97" s="655"/>
      <c r="J97" s="655"/>
      <c r="K97" s="655"/>
      <c r="L97" s="496"/>
      <c r="M97" s="496"/>
      <c r="N97" s="496"/>
      <c r="O97" s="94"/>
    </row>
    <row r="98" spans="1:15" ht="15" customHeight="1" x14ac:dyDescent="0.25">
      <c r="A98" s="652" t="str">
        <f>'P1; Organize the PT'!$G83</f>
        <v/>
      </c>
      <c r="B98" s="653"/>
      <c r="C98" s="654" t="str">
        <f>IF('P1; Organize the PT'!F83="","",'P1; Organize the PT'!$F83)</f>
        <v/>
      </c>
      <c r="D98" s="654"/>
      <c r="E98" s="654"/>
      <c r="F98" s="654"/>
      <c r="G98" s="655" t="str">
        <f>IF('P1; Organize the PT'!D83="","",'P1; Organize the PT'!$D83)</f>
        <v/>
      </c>
      <c r="H98" s="655"/>
      <c r="I98" s="655"/>
      <c r="J98" s="655"/>
      <c r="K98" s="655"/>
      <c r="L98" s="496"/>
      <c r="M98" s="496"/>
      <c r="N98" s="496"/>
      <c r="O98" s="94"/>
    </row>
    <row r="99" spans="1:15" ht="15" customHeight="1" x14ac:dyDescent="0.25">
      <c r="A99" s="652" t="str">
        <f>'P1; Organize the PT'!$G84</f>
        <v/>
      </c>
      <c r="B99" s="653"/>
      <c r="C99" s="654" t="str">
        <f>IF('P1; Organize the PT'!F84="","",'P1; Organize the PT'!$F84)</f>
        <v/>
      </c>
      <c r="D99" s="654"/>
      <c r="E99" s="654"/>
      <c r="F99" s="654"/>
      <c r="G99" s="655" t="str">
        <f>IF('P1; Organize the PT'!D84="","",'P1; Organize the PT'!$D84)</f>
        <v/>
      </c>
      <c r="H99" s="655"/>
      <c r="I99" s="655"/>
      <c r="J99" s="655"/>
      <c r="K99" s="655"/>
      <c r="L99" s="496"/>
      <c r="M99" s="496"/>
      <c r="N99" s="496"/>
      <c r="O99" s="94"/>
    </row>
    <row r="100" spans="1:15" ht="15" customHeight="1" x14ac:dyDescent="0.25">
      <c r="A100" s="652" t="str">
        <f>'P1; Organize the PT'!$G85</f>
        <v/>
      </c>
      <c r="B100" s="653"/>
      <c r="C100" s="654" t="str">
        <f>IF('P1; Organize the PT'!F85="","",'P1; Organize the PT'!$F85)</f>
        <v/>
      </c>
      <c r="D100" s="654"/>
      <c r="E100" s="654"/>
      <c r="F100" s="654"/>
      <c r="G100" s="655" t="str">
        <f>IF('P1; Organize the PT'!D85="","",'P1; Organize the PT'!$D85)</f>
        <v/>
      </c>
      <c r="H100" s="655"/>
      <c r="I100" s="655"/>
      <c r="J100" s="655"/>
      <c r="K100" s="655"/>
      <c r="L100" s="496"/>
      <c r="M100" s="496"/>
      <c r="N100" s="496"/>
      <c r="O100" s="94"/>
    </row>
    <row r="101" spans="1:15" ht="15" customHeight="1" x14ac:dyDescent="0.25">
      <c r="D101" s="495"/>
      <c r="E101" s="495"/>
      <c r="F101" s="495"/>
      <c r="G101" s="496"/>
      <c r="H101" s="496"/>
      <c r="I101" s="496"/>
      <c r="J101" s="496"/>
      <c r="K101" s="496"/>
      <c r="L101" s="496"/>
      <c r="M101" s="496"/>
      <c r="N101" s="496"/>
      <c r="O101" s="94"/>
    </row>
    <row r="102" spans="1:15" ht="15.75" x14ac:dyDescent="0.25">
      <c r="A102" s="128" t="s">
        <v>539</v>
      </c>
      <c r="B102" s="129"/>
      <c r="C102" s="129"/>
      <c r="D102" s="129"/>
      <c r="E102" s="129"/>
      <c r="F102" s="129"/>
      <c r="G102" s="129"/>
      <c r="H102" s="129"/>
      <c r="I102" s="129"/>
      <c r="J102" s="129"/>
      <c r="K102" s="129"/>
      <c r="L102" s="94"/>
    </row>
    <row r="103" spans="1:15" ht="14.45" customHeight="1" x14ac:dyDescent="0.25">
      <c r="A103" s="676"/>
      <c r="B103" s="676"/>
      <c r="C103" s="676"/>
      <c r="D103" s="676"/>
      <c r="E103" s="676"/>
      <c r="F103" s="676"/>
      <c r="G103" s="676"/>
      <c r="H103" s="676"/>
      <c r="I103" s="676"/>
      <c r="J103" s="676"/>
      <c r="K103" s="676"/>
      <c r="L103" s="94"/>
    </row>
    <row r="104" spans="1:15" ht="14.45" customHeight="1" x14ac:dyDescent="0.25">
      <c r="A104" s="656"/>
      <c r="B104" s="656"/>
      <c r="C104" s="656"/>
      <c r="D104" s="656"/>
      <c r="E104" s="656"/>
      <c r="F104" s="656"/>
      <c r="G104" s="656"/>
      <c r="H104" s="656"/>
      <c r="I104" s="656"/>
      <c r="J104" s="656"/>
      <c r="K104" s="656"/>
      <c r="L104" s="94"/>
    </row>
    <row r="105" spans="1:15" ht="14.45" customHeight="1" x14ac:dyDescent="0.25">
      <c r="A105" s="656"/>
      <c r="B105" s="656"/>
      <c r="C105" s="656"/>
      <c r="D105" s="656"/>
      <c r="E105" s="656"/>
      <c r="F105" s="656"/>
      <c r="G105" s="656"/>
      <c r="H105" s="656"/>
      <c r="I105" s="656"/>
      <c r="J105" s="656"/>
      <c r="K105" s="656"/>
      <c r="L105" s="94"/>
    </row>
    <row r="106" spans="1:15" ht="14.45" customHeight="1" x14ac:dyDescent="0.25">
      <c r="A106" s="656"/>
      <c r="B106" s="656"/>
      <c r="C106" s="656"/>
      <c r="D106" s="656"/>
      <c r="E106" s="656"/>
      <c r="F106" s="656"/>
      <c r="G106" s="656"/>
      <c r="H106" s="656"/>
      <c r="I106" s="656"/>
      <c r="J106" s="656"/>
      <c r="K106" s="656"/>
      <c r="L106" s="94"/>
    </row>
    <row r="107" spans="1:15" ht="14.45" customHeight="1" x14ac:dyDescent="0.25">
      <c r="A107" s="656"/>
      <c r="B107" s="656"/>
      <c r="C107" s="656"/>
      <c r="D107" s="656"/>
      <c r="E107" s="656"/>
      <c r="F107" s="656"/>
      <c r="G107" s="656"/>
      <c r="H107" s="656"/>
      <c r="I107" s="656"/>
      <c r="J107" s="656"/>
      <c r="K107" s="656"/>
      <c r="L107" s="94"/>
    </row>
    <row r="108" spans="1:15" s="510" customFormat="1" ht="68.25" customHeight="1" thickBot="1" x14ac:dyDescent="0.3">
      <c r="A108" s="663" t="s">
        <v>1479</v>
      </c>
      <c r="B108" s="663"/>
      <c r="C108" s="663"/>
      <c r="D108" s="663"/>
      <c r="E108" s="663"/>
      <c r="F108" s="663"/>
      <c r="G108" s="663"/>
      <c r="H108" s="663"/>
      <c r="I108" s="663"/>
      <c r="J108" s="663"/>
      <c r="K108" s="663"/>
      <c r="L108" s="94"/>
    </row>
    <row r="109" spans="1:15" ht="15" customHeight="1" x14ac:dyDescent="0.25">
      <c r="A109" s="677" t="s">
        <v>540</v>
      </c>
      <c r="B109" s="678"/>
      <c r="C109" s="679"/>
      <c r="D109" s="686" t="s">
        <v>541</v>
      </c>
      <c r="E109" s="687"/>
      <c r="F109" s="687"/>
      <c r="G109" s="687"/>
      <c r="H109" s="687"/>
      <c r="I109" s="687"/>
      <c r="J109" s="687"/>
      <c r="K109" s="687"/>
      <c r="L109" s="94"/>
    </row>
    <row r="110" spans="1:15" ht="15" customHeight="1" x14ac:dyDescent="0.25">
      <c r="A110" s="680"/>
      <c r="B110" s="681"/>
      <c r="C110" s="682"/>
      <c r="D110" s="686"/>
      <c r="E110" s="687"/>
      <c r="F110" s="687"/>
      <c r="G110" s="687"/>
      <c r="H110" s="687"/>
      <c r="I110" s="687"/>
      <c r="J110" s="687"/>
      <c r="K110" s="687"/>
      <c r="L110" s="94"/>
    </row>
    <row r="111" spans="1:15" ht="45.6" customHeight="1" thickBot="1" x14ac:dyDescent="0.3">
      <c r="A111" s="683"/>
      <c r="B111" s="684"/>
      <c r="C111" s="685"/>
      <c r="D111" s="686"/>
      <c r="E111" s="687"/>
      <c r="F111" s="687"/>
      <c r="G111" s="687"/>
      <c r="H111" s="687"/>
      <c r="I111" s="687"/>
      <c r="J111" s="687"/>
      <c r="K111" s="687"/>
      <c r="L111" s="94"/>
    </row>
    <row r="112" spans="1:15" x14ac:dyDescent="0.25">
      <c r="A112" s="94"/>
      <c r="B112" s="94"/>
      <c r="C112" s="94"/>
      <c r="D112" s="94"/>
      <c r="E112" s="94"/>
      <c r="F112" s="94"/>
      <c r="G112" s="94"/>
      <c r="H112" s="94"/>
      <c r="I112" s="94"/>
      <c r="J112" s="94"/>
      <c r="K112" s="94"/>
      <c r="L112" s="94"/>
    </row>
    <row r="113" spans="1:12" ht="30.6" hidden="1" customHeight="1" x14ac:dyDescent="0.25">
      <c r="A113" s="664" t="s">
        <v>542</v>
      </c>
      <c r="B113" s="664"/>
      <c r="C113" s="664"/>
      <c r="D113" s="664"/>
      <c r="E113" s="664"/>
      <c r="F113" s="664"/>
      <c r="G113" s="664"/>
      <c r="H113" s="664"/>
      <c r="I113" s="664"/>
      <c r="J113" s="664"/>
      <c r="K113" s="664"/>
      <c r="L113" s="94"/>
    </row>
    <row r="114" spans="1:12" ht="15" hidden="1" customHeight="1" x14ac:dyDescent="0.25">
      <c r="A114" s="665" t="s">
        <v>543</v>
      </c>
      <c r="B114" s="665"/>
      <c r="C114" s="665"/>
      <c r="D114" s="665"/>
      <c r="E114" s="665"/>
      <c r="F114" s="665"/>
      <c r="G114" s="665"/>
      <c r="H114" s="665"/>
      <c r="I114" s="665"/>
      <c r="J114" s="665"/>
      <c r="K114" s="665"/>
      <c r="L114" s="94"/>
    </row>
    <row r="115" spans="1:12" ht="15" customHeight="1" x14ac:dyDescent="0.25">
      <c r="A115" s="665" t="str">
        <f>"Signed on this "&amp;DAY(J1)&amp;IF(OR(DAY(J1)={1,2,3,21,22,23,31}),CHOOSE(1*RIGHT(DAY(J1),1),"st day of ","nd day of ","rd day of "),"th day of ")&amp;TEXT(J1,"mmmm, yyyy" )&amp;", "&amp;(F6)</f>
        <v>Signed on this 0th day of January, 1900, Gaithersburg, MD 20899</v>
      </c>
      <c r="B115" s="665"/>
      <c r="C115" s="665"/>
      <c r="D115" s="665"/>
      <c r="E115" s="665"/>
      <c r="F115" s="665"/>
      <c r="G115" s="665"/>
      <c r="H115" s="665"/>
      <c r="I115" s="665"/>
      <c r="J115" s="665"/>
      <c r="K115" s="665"/>
      <c r="L115" s="94"/>
    </row>
    <row r="116" spans="1:12" x14ac:dyDescent="0.25">
      <c r="L116" s="94"/>
    </row>
    <row r="117" spans="1:12" x14ac:dyDescent="0.25">
      <c r="A117" s="666" t="s">
        <v>544</v>
      </c>
      <c r="B117" s="666"/>
      <c r="C117" s="666"/>
      <c r="D117" s="666"/>
      <c r="E117" s="666"/>
      <c r="F117" s="667"/>
      <c r="G117" s="668" t="s">
        <v>545</v>
      </c>
      <c r="H117" s="669"/>
      <c r="I117" s="669"/>
      <c r="J117" s="669"/>
      <c r="K117" s="670"/>
      <c r="L117" s="94"/>
    </row>
    <row r="118" spans="1:12" x14ac:dyDescent="0.25">
      <c r="A118" s="94"/>
      <c r="B118" s="674" t="s">
        <v>654</v>
      </c>
      <c r="C118" s="674"/>
      <c r="D118" s="674"/>
      <c r="E118" s="674"/>
      <c r="F118" s="675"/>
      <c r="G118" s="671"/>
      <c r="H118" s="672"/>
      <c r="I118" s="672"/>
      <c r="J118" s="672"/>
      <c r="K118" s="673"/>
      <c r="L118" s="94"/>
    </row>
    <row r="119" spans="1:12" x14ac:dyDescent="0.25">
      <c r="A119" s="94"/>
      <c r="B119" s="94"/>
      <c r="C119" s="94"/>
      <c r="D119" s="94"/>
      <c r="E119" s="94"/>
      <c r="F119" s="94"/>
      <c r="G119" s="94"/>
      <c r="H119" s="94"/>
      <c r="I119" s="94"/>
      <c r="J119" s="94"/>
      <c r="K119" s="94"/>
      <c r="L119" s="94"/>
    </row>
    <row r="120" spans="1:12" ht="87" customHeight="1" x14ac:dyDescent="0.25">
      <c r="A120" s="660" t="s">
        <v>655</v>
      </c>
      <c r="B120" s="660"/>
      <c r="C120" s="660"/>
      <c r="D120" s="660"/>
      <c r="E120" s="660"/>
      <c r="F120" s="660"/>
      <c r="G120" s="660"/>
      <c r="H120" s="660"/>
      <c r="I120" s="660"/>
      <c r="J120" s="660"/>
      <c r="K120" s="660"/>
      <c r="L120" s="130"/>
    </row>
    <row r="121" spans="1:12" x14ac:dyDescent="0.25">
      <c r="A121" s="130"/>
      <c r="B121" s="130"/>
      <c r="C121" s="130"/>
      <c r="D121" s="130"/>
      <c r="E121" s="130"/>
      <c r="F121" s="130"/>
      <c r="G121" s="130"/>
      <c r="H121" s="130"/>
      <c r="I121" s="130"/>
      <c r="J121" s="130"/>
      <c r="K121" s="130"/>
      <c r="L121" s="130"/>
    </row>
    <row r="122" spans="1:12" x14ac:dyDescent="0.25">
      <c r="A122" s="130"/>
      <c r="B122" s="130"/>
      <c r="C122" s="130"/>
      <c r="D122" s="130"/>
      <c r="E122" s="130"/>
      <c r="F122" s="130"/>
      <c r="G122" s="130"/>
      <c r="H122" s="130"/>
      <c r="I122" s="130"/>
      <c r="J122" s="130"/>
      <c r="K122" s="130"/>
      <c r="L122" s="130"/>
    </row>
    <row r="123" spans="1:12" x14ac:dyDescent="0.25">
      <c r="A123" s="130"/>
      <c r="B123" s="130"/>
      <c r="C123" s="130"/>
      <c r="D123" s="130"/>
      <c r="E123" s="130"/>
      <c r="F123" s="130"/>
      <c r="G123" s="130"/>
      <c r="H123" s="130"/>
      <c r="I123" s="130"/>
      <c r="J123" s="130"/>
      <c r="K123" s="130"/>
      <c r="L123" s="130"/>
    </row>
    <row r="124" spans="1:12" x14ac:dyDescent="0.25">
      <c r="A124" s="130"/>
      <c r="B124" s="130"/>
      <c r="C124" s="130"/>
      <c r="D124" s="130"/>
      <c r="E124" s="130"/>
      <c r="F124" s="130"/>
      <c r="G124" s="130"/>
      <c r="H124" s="130"/>
      <c r="I124" s="130"/>
      <c r="J124" s="130"/>
      <c r="K124" s="130"/>
      <c r="L124" s="130"/>
    </row>
    <row r="125" spans="1:12" x14ac:dyDescent="0.25">
      <c r="A125" s="130"/>
      <c r="B125" s="130"/>
      <c r="C125" s="130"/>
      <c r="D125" s="130"/>
      <c r="E125" s="130"/>
      <c r="F125" s="130"/>
      <c r="G125" s="130"/>
      <c r="H125" s="130"/>
      <c r="I125" s="130"/>
      <c r="J125" s="130"/>
      <c r="K125" s="130"/>
      <c r="L125" s="130"/>
    </row>
    <row r="126" spans="1:12" x14ac:dyDescent="0.25">
      <c r="A126" s="130"/>
      <c r="B126" s="130"/>
      <c r="C126" s="130"/>
      <c r="D126" s="130"/>
      <c r="E126" s="130"/>
      <c r="F126" s="130"/>
      <c r="G126" s="130"/>
      <c r="H126" s="130"/>
      <c r="I126" s="130"/>
      <c r="J126" s="130"/>
      <c r="K126" s="130"/>
      <c r="L126" s="130"/>
    </row>
    <row r="127" spans="1:12" x14ac:dyDescent="0.25">
      <c r="A127" s="130"/>
      <c r="B127" s="130"/>
      <c r="C127" s="130"/>
      <c r="D127" s="130"/>
      <c r="E127" s="130"/>
      <c r="F127" s="130"/>
      <c r="G127" s="130"/>
      <c r="H127" s="130"/>
      <c r="I127" s="130"/>
      <c r="J127" s="130"/>
      <c r="K127" s="130"/>
      <c r="L127" s="130"/>
    </row>
    <row r="128" spans="1:12" x14ac:dyDescent="0.25">
      <c r="A128" s="130"/>
      <c r="B128" s="130"/>
      <c r="C128" s="130"/>
      <c r="D128" s="130"/>
      <c r="E128" s="130"/>
      <c r="F128" s="130"/>
      <c r="G128" s="130"/>
      <c r="H128" s="130"/>
      <c r="I128" s="130"/>
      <c r="J128" s="130"/>
      <c r="K128" s="130"/>
      <c r="L128" s="130"/>
    </row>
    <row r="129" spans="1:12" x14ac:dyDescent="0.25">
      <c r="A129" s="130"/>
      <c r="B129" s="130"/>
      <c r="C129" s="130"/>
      <c r="D129" s="130"/>
      <c r="E129" s="130"/>
      <c r="F129" s="130"/>
      <c r="G129" s="130"/>
      <c r="H129" s="130"/>
      <c r="I129" s="130"/>
      <c r="J129" s="130"/>
      <c r="K129" s="130"/>
      <c r="L129" s="130"/>
    </row>
  </sheetData>
  <mergeCells count="212">
    <mergeCell ref="C20:K20"/>
    <mergeCell ref="C28:K28"/>
    <mergeCell ref="A35:K35"/>
    <mergeCell ref="C32:K32"/>
    <mergeCell ref="A41:K41"/>
    <mergeCell ref="A43:K43"/>
    <mergeCell ref="C30:K30"/>
    <mergeCell ref="C31:K31"/>
    <mergeCell ref="C21:J21"/>
    <mergeCell ref="C24:F24"/>
    <mergeCell ref="C25:F25"/>
    <mergeCell ref="I25:J25"/>
    <mergeCell ref="C26:F26"/>
    <mergeCell ref="I26:J26"/>
    <mergeCell ref="I24:K24"/>
    <mergeCell ref="A18:B18"/>
    <mergeCell ref="A19:B19"/>
    <mergeCell ref="A1:I1"/>
    <mergeCell ref="J1:K1"/>
    <mergeCell ref="A2:B2"/>
    <mergeCell ref="I2:K2"/>
    <mergeCell ref="A9:K9"/>
    <mergeCell ref="I12:K12"/>
    <mergeCell ref="I13:K13"/>
    <mergeCell ref="I14:K14"/>
    <mergeCell ref="I15:K15"/>
    <mergeCell ref="I16:K16"/>
    <mergeCell ref="C19:K19"/>
    <mergeCell ref="I11:K11"/>
    <mergeCell ref="C18:K18"/>
    <mergeCell ref="J5:K7"/>
    <mergeCell ref="A120:K120"/>
    <mergeCell ref="A38:K38"/>
    <mergeCell ref="A39:K39"/>
    <mergeCell ref="A108:K108"/>
    <mergeCell ref="A104:K104"/>
    <mergeCell ref="A107:K107"/>
    <mergeCell ref="A113:K113"/>
    <mergeCell ref="A114:K114"/>
    <mergeCell ref="A117:F117"/>
    <mergeCell ref="G117:K118"/>
    <mergeCell ref="B118:F118"/>
    <mergeCell ref="A103:K103"/>
    <mergeCell ref="A109:C111"/>
    <mergeCell ref="D109:K111"/>
    <mergeCell ref="A115:K115"/>
    <mergeCell ref="A57:B57"/>
    <mergeCell ref="C57:F57"/>
    <mergeCell ref="G57:K57"/>
    <mergeCell ref="A58:B58"/>
    <mergeCell ref="C58:F58"/>
    <mergeCell ref="G58:K58"/>
    <mergeCell ref="A53:B53"/>
    <mergeCell ref="C53:F53"/>
    <mergeCell ref="G53:K53"/>
    <mergeCell ref="A54:B54"/>
    <mergeCell ref="C54:F54"/>
    <mergeCell ref="G54:K54"/>
    <mergeCell ref="A55:B55"/>
    <mergeCell ref="A47:B47"/>
    <mergeCell ref="C47:F47"/>
    <mergeCell ref="C46:F46"/>
    <mergeCell ref="G46:K46"/>
    <mergeCell ref="G47:K47"/>
    <mergeCell ref="C50:F50"/>
    <mergeCell ref="C51:F51"/>
    <mergeCell ref="A48:B48"/>
    <mergeCell ref="C48:F48"/>
    <mergeCell ref="G48:K48"/>
    <mergeCell ref="A49:B49"/>
    <mergeCell ref="C49:F49"/>
    <mergeCell ref="G49:K49"/>
    <mergeCell ref="A50:B50"/>
    <mergeCell ref="G50:K50"/>
    <mergeCell ref="A51:B51"/>
    <mergeCell ref="G51:K51"/>
    <mergeCell ref="A52:B52"/>
    <mergeCell ref="C52:F52"/>
    <mergeCell ref="G52:K52"/>
    <mergeCell ref="A106:K106"/>
    <mergeCell ref="A105:K105"/>
    <mergeCell ref="A63:B63"/>
    <mergeCell ref="C63:F63"/>
    <mergeCell ref="G63:K63"/>
    <mergeCell ref="A64:B64"/>
    <mergeCell ref="C64:F64"/>
    <mergeCell ref="G64:K64"/>
    <mergeCell ref="A65:B65"/>
    <mergeCell ref="C65:F65"/>
    <mergeCell ref="G65:K65"/>
    <mergeCell ref="A66:B66"/>
    <mergeCell ref="C66:F66"/>
    <mergeCell ref="G66:K66"/>
    <mergeCell ref="A73:B73"/>
    <mergeCell ref="C73:F73"/>
    <mergeCell ref="G73:K73"/>
    <mergeCell ref="A74:B74"/>
    <mergeCell ref="C74:F74"/>
    <mergeCell ref="G74:K74"/>
    <mergeCell ref="A71:B71"/>
    <mergeCell ref="C71:F71"/>
    <mergeCell ref="G71:K71"/>
    <mergeCell ref="A79:B79"/>
    <mergeCell ref="A59:B59"/>
    <mergeCell ref="C59:F59"/>
    <mergeCell ref="G59:K59"/>
    <mergeCell ref="A60:B60"/>
    <mergeCell ref="C60:F60"/>
    <mergeCell ref="G60:K60"/>
    <mergeCell ref="A61:B61"/>
    <mergeCell ref="C55:F55"/>
    <mergeCell ref="G55:K55"/>
    <mergeCell ref="A56:B56"/>
    <mergeCell ref="C56:F56"/>
    <mergeCell ref="G56:K56"/>
    <mergeCell ref="C61:F61"/>
    <mergeCell ref="G61:K61"/>
    <mergeCell ref="A62:B62"/>
    <mergeCell ref="C62:F62"/>
    <mergeCell ref="G62:K62"/>
    <mergeCell ref="A69:B69"/>
    <mergeCell ref="C69:F69"/>
    <mergeCell ref="G69:K69"/>
    <mergeCell ref="A70:B70"/>
    <mergeCell ref="C70:F70"/>
    <mergeCell ref="G70:K70"/>
    <mergeCell ref="A67:B67"/>
    <mergeCell ref="C67:F67"/>
    <mergeCell ref="G67:K67"/>
    <mergeCell ref="A68:B68"/>
    <mergeCell ref="C68:F68"/>
    <mergeCell ref="G68:K68"/>
    <mergeCell ref="C79:F79"/>
    <mergeCell ref="G79:K79"/>
    <mergeCell ref="A80:B80"/>
    <mergeCell ref="C80:F80"/>
    <mergeCell ref="G80:K80"/>
    <mergeCell ref="A72:B72"/>
    <mergeCell ref="C72:F72"/>
    <mergeCell ref="G72:K72"/>
    <mergeCell ref="A77:B77"/>
    <mergeCell ref="C77:F77"/>
    <mergeCell ref="G77:K77"/>
    <mergeCell ref="A78:B78"/>
    <mergeCell ref="C78:F78"/>
    <mergeCell ref="G78:K78"/>
    <mergeCell ref="A75:B75"/>
    <mergeCell ref="C75:F75"/>
    <mergeCell ref="G75:K75"/>
    <mergeCell ref="A76:B76"/>
    <mergeCell ref="C76:F76"/>
    <mergeCell ref="G76:K76"/>
    <mergeCell ref="A83:B83"/>
    <mergeCell ref="C83:F83"/>
    <mergeCell ref="G83:K83"/>
    <mergeCell ref="A84:B84"/>
    <mergeCell ref="C84:F84"/>
    <mergeCell ref="G84:K84"/>
    <mergeCell ref="A81:B81"/>
    <mergeCell ref="C81:F81"/>
    <mergeCell ref="G81:K81"/>
    <mergeCell ref="A82:B82"/>
    <mergeCell ref="C82:F82"/>
    <mergeCell ref="G82:K82"/>
    <mergeCell ref="A87:B87"/>
    <mergeCell ref="C87:F87"/>
    <mergeCell ref="G87:K87"/>
    <mergeCell ref="A88:B88"/>
    <mergeCell ref="C88:F88"/>
    <mergeCell ref="G88:K88"/>
    <mergeCell ref="A85:B85"/>
    <mergeCell ref="C85:F85"/>
    <mergeCell ref="G85:K85"/>
    <mergeCell ref="A86:B86"/>
    <mergeCell ref="C86:F86"/>
    <mergeCell ref="G86:K86"/>
    <mergeCell ref="A91:B91"/>
    <mergeCell ref="C91:F91"/>
    <mergeCell ref="G91:K91"/>
    <mergeCell ref="A92:B92"/>
    <mergeCell ref="C92:F92"/>
    <mergeCell ref="G92:K92"/>
    <mergeCell ref="A89:B89"/>
    <mergeCell ref="C89:F89"/>
    <mergeCell ref="G89:K89"/>
    <mergeCell ref="A90:B90"/>
    <mergeCell ref="C90:F90"/>
    <mergeCell ref="G90:K90"/>
    <mergeCell ref="A95:B95"/>
    <mergeCell ref="C95:F95"/>
    <mergeCell ref="G95:K95"/>
    <mergeCell ref="A96:B96"/>
    <mergeCell ref="C96:F96"/>
    <mergeCell ref="G96:K96"/>
    <mergeCell ref="A93:B93"/>
    <mergeCell ref="C93:F93"/>
    <mergeCell ref="G93:K93"/>
    <mergeCell ref="A94:B94"/>
    <mergeCell ref="C94:F94"/>
    <mergeCell ref="G94:K94"/>
    <mergeCell ref="A99:B99"/>
    <mergeCell ref="C99:F99"/>
    <mergeCell ref="G99:K99"/>
    <mergeCell ref="A100:B100"/>
    <mergeCell ref="C100:F100"/>
    <mergeCell ref="G100:K100"/>
    <mergeCell ref="A97:B97"/>
    <mergeCell ref="C97:F97"/>
    <mergeCell ref="G97:K97"/>
    <mergeCell ref="A98:B98"/>
    <mergeCell ref="C98:F98"/>
    <mergeCell ref="G98:K98"/>
  </mergeCells>
  <conditionalFormatting sqref="A108">
    <cfRule type="containsBlanks" dxfId="3" priority="4">
      <formula>LEN(TRIM(A108))=0</formula>
    </cfRule>
  </conditionalFormatting>
  <conditionalFormatting sqref="A103:K107">
    <cfRule type="containsBlanks" dxfId="2" priority="1">
      <formula>LEN(TRIM(A103))=0</formula>
    </cfRule>
  </conditionalFormatting>
  <conditionalFormatting sqref="C28">
    <cfRule type="containsBlanks" dxfId="1" priority="5">
      <formula>LEN(TRIM(C28))=0</formula>
    </cfRule>
  </conditionalFormatting>
  <conditionalFormatting sqref="J1:K1">
    <cfRule type="containsBlanks" dxfId="0" priority="3">
      <formula>LEN(TRIM(J1))=0</formula>
    </cfRule>
  </conditionalFormatting>
  <hyperlinks>
    <hyperlink ref="J5" r:id="rId1" xr:uid="{9DB98BDE-7E1F-444D-BF37-E0F4463D90CD}"/>
  </hyperlinks>
  <pageMargins left="0.7" right="0.7" top="0.75" bottom="0.75" header="0.3" footer="0.3"/>
  <pageSetup scale="70" fitToHeight="0" orientation="portrait" horizontalDpi="300" verticalDpi="300" r:id="rId2"/>
  <rowBreaks count="1" manualBreakCount="1">
    <brk id="36" max="10" man="1"/>
  </rowBreak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F748-A419-4A38-B9C3-7AE9D48286A1}">
  <sheetPr>
    <pageSetUpPr fitToPage="1"/>
  </sheetPr>
  <dimension ref="A1:B82"/>
  <sheetViews>
    <sheetView view="pageBreakPreview" zoomScale="140" zoomScaleNormal="85" zoomScaleSheetLayoutView="140" workbookViewId="0">
      <selection activeCell="B4" sqref="B4"/>
    </sheetView>
  </sheetViews>
  <sheetFormatPr defaultColWidth="8.5703125" defaultRowHeight="12.75" x14ac:dyDescent="0.2"/>
  <cols>
    <col min="1" max="1" width="14.140625" style="167" bestFit="1" customWidth="1"/>
    <col min="2" max="2" width="119.42578125" style="167" customWidth="1"/>
    <col min="3" max="16384" width="8.5703125" style="167"/>
  </cols>
  <sheetData>
    <row r="1" spans="1:2" x14ac:dyDescent="0.2">
      <c r="A1" s="165"/>
      <c r="B1" s="166"/>
    </row>
    <row r="2" spans="1:2" ht="25.5" x14ac:dyDescent="0.2">
      <c r="A2" s="210" t="s">
        <v>17</v>
      </c>
      <c r="B2" s="169" t="str">
        <f ca="1">CELL("filename")</f>
        <v>\\elwood.nist.gov\680\NIST_Projects\OWM\Lab_Prgm\Proficiency Testing Prgm\Quality Documents\PT Templates\[PTT01_PT-Plan-template_20260708.xlsx]Revision Data</v>
      </c>
    </row>
    <row r="3" spans="1:2" ht="27.95" customHeight="1" thickBot="1" x14ac:dyDescent="0.25">
      <c r="A3" s="210" t="s">
        <v>18</v>
      </c>
      <c r="B3" s="209" t="s">
        <v>1480</v>
      </c>
    </row>
    <row r="4" spans="1:2" ht="182.1" customHeight="1" thickTop="1" x14ac:dyDescent="0.2">
      <c r="A4" s="170" t="s">
        <v>19</v>
      </c>
      <c r="B4" s="171" t="s">
        <v>20</v>
      </c>
    </row>
    <row r="5" spans="1:2" ht="69.599999999999994" customHeight="1" thickBot="1" x14ac:dyDescent="0.25">
      <c r="A5" s="172" t="s">
        <v>21</v>
      </c>
      <c r="B5" s="173" t="s">
        <v>22</v>
      </c>
    </row>
    <row r="6" spans="1:2" ht="18.95" customHeight="1" thickTop="1" x14ac:dyDescent="0.2">
      <c r="A6" s="174"/>
      <c r="B6" s="175"/>
    </row>
    <row r="7" spans="1:2" ht="54" customHeight="1" x14ac:dyDescent="0.2">
      <c r="A7" s="197" t="s">
        <v>23</v>
      </c>
      <c r="B7" s="198" t="s">
        <v>24</v>
      </c>
    </row>
    <row r="8" spans="1:2" ht="15" x14ac:dyDescent="0.25">
      <c r="A8" s="20">
        <v>1</v>
      </c>
      <c r="B8" s="204" t="s">
        <v>25</v>
      </c>
    </row>
    <row r="9" spans="1:2" ht="15" x14ac:dyDescent="0.25">
      <c r="A9" s="20">
        <v>2</v>
      </c>
      <c r="B9" s="204" t="s">
        <v>26</v>
      </c>
    </row>
    <row r="10" spans="1:2" ht="45" x14ac:dyDescent="0.2">
      <c r="A10" s="20">
        <v>3</v>
      </c>
      <c r="B10" s="205" t="s">
        <v>27</v>
      </c>
    </row>
    <row r="11" spans="1:2" ht="15" x14ac:dyDescent="0.25">
      <c r="A11" s="20">
        <v>4</v>
      </c>
      <c r="B11" s="206" t="s">
        <v>28</v>
      </c>
    </row>
    <row r="12" spans="1:2" ht="15" x14ac:dyDescent="0.25">
      <c r="A12" s="20">
        <v>5</v>
      </c>
      <c r="B12" s="206" t="s">
        <v>29</v>
      </c>
    </row>
    <row r="13" spans="1:2" ht="30" x14ac:dyDescent="0.25">
      <c r="A13" s="20">
        <v>6</v>
      </c>
      <c r="B13" s="206" t="s">
        <v>30</v>
      </c>
    </row>
    <row r="14" spans="1:2" ht="51" x14ac:dyDescent="0.2">
      <c r="A14" s="207">
        <v>7</v>
      </c>
      <c r="B14" s="208" t="s">
        <v>31</v>
      </c>
    </row>
    <row r="15" spans="1:2" ht="45" x14ac:dyDescent="0.25">
      <c r="A15" s="20">
        <v>8</v>
      </c>
      <c r="B15" s="206" t="s">
        <v>32</v>
      </c>
    </row>
    <row r="16" spans="1:2" ht="25.5" x14ac:dyDescent="0.2">
      <c r="A16" s="199">
        <v>9</v>
      </c>
      <c r="B16" s="200" t="s">
        <v>33</v>
      </c>
    </row>
    <row r="17" spans="1:2" x14ac:dyDescent="0.2">
      <c r="A17" s="201"/>
      <c r="B17" s="200"/>
    </row>
    <row r="18" spans="1:2" x14ac:dyDescent="0.2">
      <c r="A18" s="201"/>
      <c r="B18" s="200"/>
    </row>
    <row r="19" spans="1:2" x14ac:dyDescent="0.2">
      <c r="A19" s="201"/>
      <c r="B19" s="200"/>
    </row>
    <row r="20" spans="1:2" x14ac:dyDescent="0.2">
      <c r="A20" s="201"/>
      <c r="B20" s="200"/>
    </row>
    <row r="21" spans="1:2" x14ac:dyDescent="0.2">
      <c r="A21" s="201"/>
      <c r="B21" s="202"/>
    </row>
    <row r="22" spans="1:2" x14ac:dyDescent="0.2">
      <c r="A22" s="201"/>
      <c r="B22" s="200"/>
    </row>
    <row r="23" spans="1:2" x14ac:dyDescent="0.2">
      <c r="A23" s="201"/>
      <c r="B23" s="200"/>
    </row>
    <row r="24" spans="1:2" x14ac:dyDescent="0.2">
      <c r="A24" s="201"/>
      <c r="B24" s="200"/>
    </row>
    <row r="25" spans="1:2" ht="12" customHeight="1" x14ac:dyDescent="0.2">
      <c r="A25" s="201"/>
      <c r="B25" s="200"/>
    </row>
    <row r="26" spans="1:2" x14ac:dyDescent="0.2">
      <c r="A26" s="201"/>
      <c r="B26" s="200"/>
    </row>
    <row r="27" spans="1:2" ht="15" customHeight="1" x14ac:dyDescent="0.2">
      <c r="A27" s="201"/>
      <c r="B27" s="200"/>
    </row>
    <row r="28" spans="1:2" x14ac:dyDescent="0.2">
      <c r="A28" s="201"/>
      <c r="B28" s="203"/>
    </row>
    <row r="29" spans="1:2" ht="15" customHeight="1" x14ac:dyDescent="0.2">
      <c r="A29" s="201"/>
      <c r="B29" s="200"/>
    </row>
    <row r="30" spans="1:2" ht="15" customHeight="1" x14ac:dyDescent="0.2">
      <c r="A30" s="201"/>
      <c r="B30" s="200"/>
    </row>
    <row r="31" spans="1:2" ht="15" customHeight="1" x14ac:dyDescent="0.2">
      <c r="A31" s="201"/>
      <c r="B31" s="200"/>
    </row>
    <row r="32" spans="1:2" ht="15" customHeight="1" x14ac:dyDescent="0.2">
      <c r="A32" s="201"/>
      <c r="B32" s="200"/>
    </row>
    <row r="33" spans="1:2" ht="15" customHeight="1" x14ac:dyDescent="0.2">
      <c r="A33" s="201"/>
      <c r="B33" s="200"/>
    </row>
    <row r="34" spans="1:2" ht="15" customHeight="1" x14ac:dyDescent="0.2">
      <c r="A34" s="201"/>
      <c r="B34" s="200"/>
    </row>
    <row r="35" spans="1:2" ht="15" customHeight="1" x14ac:dyDescent="0.2">
      <c r="A35" s="201"/>
      <c r="B35" s="200"/>
    </row>
    <row r="36" spans="1:2" ht="15" customHeight="1" x14ac:dyDescent="0.2">
      <c r="A36" s="165"/>
      <c r="B36" s="176"/>
    </row>
    <row r="37" spans="1:2" ht="15" customHeight="1" x14ac:dyDescent="0.2">
      <c r="A37" s="165"/>
      <c r="B37" s="166"/>
    </row>
    <row r="38" spans="1:2" ht="15" customHeight="1" x14ac:dyDescent="0.2">
      <c r="A38" s="165"/>
      <c r="B38" s="176"/>
    </row>
    <row r="39" spans="1:2" ht="15" customHeight="1" x14ac:dyDescent="0.2">
      <c r="A39" s="165"/>
      <c r="B39" s="166"/>
    </row>
    <row r="40" spans="1:2" ht="15" customHeight="1" x14ac:dyDescent="0.2">
      <c r="A40" s="165"/>
      <c r="B40" s="176"/>
    </row>
    <row r="41" spans="1:2" ht="15" customHeight="1" x14ac:dyDescent="0.2">
      <c r="A41" s="165"/>
    </row>
    <row r="42" spans="1:2" ht="15" customHeight="1" x14ac:dyDescent="0.2">
      <c r="A42" s="168"/>
    </row>
    <row r="43" spans="1:2" ht="15" customHeight="1" x14ac:dyDescent="0.2">
      <c r="A43" s="165"/>
      <c r="B43" s="166"/>
    </row>
    <row r="44" spans="1:2" ht="15" customHeight="1" x14ac:dyDescent="0.2">
      <c r="A44" s="177"/>
      <c r="B44" s="178"/>
    </row>
    <row r="45" spans="1:2" ht="15" customHeight="1" x14ac:dyDescent="0.2">
      <c r="A45" s="179"/>
      <c r="B45" s="166"/>
    </row>
    <row r="46" spans="1:2" ht="15" customHeight="1" x14ac:dyDescent="0.2">
      <c r="A46" s="179"/>
      <c r="B46" s="166"/>
    </row>
    <row r="47" spans="1:2" ht="15" customHeight="1" x14ac:dyDescent="0.2">
      <c r="A47" s="179"/>
      <c r="B47" s="166"/>
    </row>
    <row r="48" spans="1:2" ht="15" customHeight="1" x14ac:dyDescent="0.2">
      <c r="A48" s="179"/>
      <c r="B48" s="166"/>
    </row>
    <row r="49" spans="1:2" ht="15" customHeight="1" x14ac:dyDescent="0.2">
      <c r="A49" s="179"/>
      <c r="B49" s="166"/>
    </row>
    <row r="50" spans="1:2" ht="15" customHeight="1" x14ac:dyDescent="0.2">
      <c r="A50" s="179"/>
      <c r="B50" s="166"/>
    </row>
    <row r="51" spans="1:2" ht="15" customHeight="1" x14ac:dyDescent="0.2">
      <c r="A51" s="179"/>
      <c r="B51" s="166"/>
    </row>
    <row r="52" spans="1:2" ht="15" customHeight="1" x14ac:dyDescent="0.2">
      <c r="A52" s="179"/>
      <c r="B52" s="166"/>
    </row>
    <row r="53" spans="1:2" ht="15" customHeight="1" x14ac:dyDescent="0.2">
      <c r="A53" s="179"/>
      <c r="B53" s="166"/>
    </row>
    <row r="54" spans="1:2" ht="15" customHeight="1" x14ac:dyDescent="0.2">
      <c r="A54" s="179"/>
      <c r="B54" s="166"/>
    </row>
    <row r="55" spans="1:2" ht="15" customHeight="1" x14ac:dyDescent="0.2">
      <c r="A55" s="179"/>
      <c r="B55" s="166"/>
    </row>
    <row r="56" spans="1:2" ht="15" customHeight="1" x14ac:dyDescent="0.2">
      <c r="A56" s="179"/>
      <c r="B56" s="166"/>
    </row>
    <row r="57" spans="1:2" ht="15" customHeight="1" x14ac:dyDescent="0.2"/>
    <row r="58" spans="1:2" ht="15" customHeight="1" x14ac:dyDescent="0.2">
      <c r="B58" s="166"/>
    </row>
    <row r="59" spans="1:2" ht="15" customHeight="1" x14ac:dyDescent="0.2">
      <c r="B59" s="166"/>
    </row>
    <row r="60" spans="1:2" ht="15" customHeight="1" x14ac:dyDescent="0.2">
      <c r="B60" s="166"/>
    </row>
    <row r="61" spans="1:2" ht="15" customHeight="1" x14ac:dyDescent="0.2">
      <c r="B61" s="166" t="s">
        <v>34</v>
      </c>
    </row>
    <row r="64" spans="1:2" x14ac:dyDescent="0.2">
      <c r="B64" s="166"/>
    </row>
    <row r="71" spans="2:2" ht="13.5" thickBot="1" x14ac:dyDescent="0.25"/>
    <row r="72" spans="2:2" ht="13.5" thickTop="1" x14ac:dyDescent="0.2">
      <c r="B72" s="180" t="s">
        <v>35</v>
      </c>
    </row>
    <row r="73" spans="2:2" ht="25.5" x14ac:dyDescent="0.2">
      <c r="B73" s="181" t="s">
        <v>36</v>
      </c>
    </row>
    <row r="74" spans="2:2" ht="25.5" customHeight="1" x14ac:dyDescent="0.2">
      <c r="B74" s="182" t="s">
        <v>37</v>
      </c>
    </row>
    <row r="75" spans="2:2" ht="38.25" customHeight="1" x14ac:dyDescent="0.2">
      <c r="B75" s="182" t="s">
        <v>38</v>
      </c>
    </row>
    <row r="76" spans="2:2" ht="57.75" customHeight="1" x14ac:dyDescent="0.2">
      <c r="B76" s="182" t="s">
        <v>39</v>
      </c>
    </row>
    <row r="77" spans="2:2" ht="55.5" customHeight="1" x14ac:dyDescent="0.2">
      <c r="B77" s="182" t="s">
        <v>40</v>
      </c>
    </row>
    <row r="78" spans="2:2" ht="96.75" customHeight="1" x14ac:dyDescent="0.2">
      <c r="B78" s="182" t="s">
        <v>41</v>
      </c>
    </row>
    <row r="79" spans="2:2" ht="56.25" customHeight="1" x14ac:dyDescent="0.2">
      <c r="B79" s="182" t="s">
        <v>42</v>
      </c>
    </row>
    <row r="80" spans="2:2" ht="58.5" customHeight="1" x14ac:dyDescent="0.2">
      <c r="B80" s="182" t="s">
        <v>43</v>
      </c>
    </row>
    <row r="81" spans="2:2" ht="78.75" customHeight="1" thickBot="1" x14ac:dyDescent="0.25">
      <c r="B81" s="183" t="s">
        <v>44</v>
      </c>
    </row>
    <row r="82" spans="2:2" ht="13.5" thickTop="1" x14ac:dyDescent="0.2"/>
  </sheetData>
  <hyperlinks>
    <hyperlink ref="A5" r:id="rId1" xr:uid="{1B12D1B2-CE38-4D1E-8EBA-AF10C7658AEC}"/>
  </hyperlinks>
  <printOptions horizontalCentered="1"/>
  <pageMargins left="0.75" right="0.75" top="0.75" bottom="0.75" header="0.5" footer="0.5"/>
  <pageSetup scale="66" fitToHeight="0" orientation="portrait" r:id="rId2"/>
  <headerFooter>
    <oddHeader>&amp;A</oddHeader>
    <oddFooter>&amp;L&amp;F&amp;R&amp;P of &amp;N</oddFooter>
  </headerFooter>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F9B19-D111-4271-8ECA-3D5B6F15F28E}">
  <dimension ref="A1:H78"/>
  <sheetViews>
    <sheetView view="pageLayout" zoomScale="130" zoomScaleNormal="140" zoomScalePageLayoutView="130" workbookViewId="0">
      <selection activeCell="B8" sqref="B8"/>
    </sheetView>
  </sheetViews>
  <sheetFormatPr defaultColWidth="0" defaultRowHeight="12.75" customHeight="1" zeroHeight="1" x14ac:dyDescent="0.2"/>
  <cols>
    <col min="1" max="1" width="6.42578125" style="237" customWidth="1"/>
    <col min="2" max="2" width="48.5703125" style="237" customWidth="1"/>
    <col min="3" max="3" width="9.5703125" style="239" customWidth="1"/>
    <col min="4" max="4" width="19.5703125" style="242" customWidth="1"/>
    <col min="5" max="5" width="15.42578125" style="242" customWidth="1"/>
    <col min="6" max="16384" width="9.140625" style="225" hidden="1"/>
  </cols>
  <sheetData>
    <row r="1" spans="1:8" ht="15.75" thickBot="1" x14ac:dyDescent="0.3">
      <c r="B1" s="259" t="s">
        <v>652</v>
      </c>
      <c r="E1" s="258" t="s">
        <v>653</v>
      </c>
    </row>
    <row r="2" spans="1:8" ht="24" customHeight="1" thickBot="1" x14ac:dyDescent="0.25">
      <c r="A2" s="224" t="s">
        <v>632</v>
      </c>
      <c r="B2" s="529"/>
      <c r="C2" s="530"/>
      <c r="D2" s="260" t="s">
        <v>482</v>
      </c>
      <c r="E2" s="246"/>
      <c r="F2" s="244"/>
    </row>
    <row r="3" spans="1:8" ht="21.75" customHeight="1" thickBot="1" x14ac:dyDescent="0.25">
      <c r="A3" s="531" t="s">
        <v>633</v>
      </c>
      <c r="B3" s="532"/>
      <c r="C3" s="532"/>
      <c r="D3" s="532"/>
      <c r="E3" s="533"/>
    </row>
    <row r="4" spans="1:8" ht="8.25" customHeight="1" thickBot="1" x14ac:dyDescent="0.25">
      <c r="A4" s="534"/>
      <c r="B4" s="534"/>
      <c r="C4" s="534"/>
      <c r="D4" s="534"/>
      <c r="E4" s="534"/>
    </row>
    <row r="5" spans="1:8" ht="36.75" customHeight="1" thickBot="1" x14ac:dyDescent="0.25">
      <c r="A5" s="226" t="s">
        <v>556</v>
      </c>
      <c r="B5" s="245" t="s">
        <v>557</v>
      </c>
      <c r="C5" s="245" t="s">
        <v>558</v>
      </c>
      <c r="D5" s="535" t="s">
        <v>634</v>
      </c>
      <c r="E5" s="536"/>
    </row>
    <row r="6" spans="1:8" ht="20.25" customHeight="1" thickBot="1" x14ac:dyDescent="0.25">
      <c r="A6" s="524" t="s">
        <v>559</v>
      </c>
      <c r="B6" s="227" t="s">
        <v>560</v>
      </c>
      <c r="C6" s="228"/>
      <c r="D6" s="527"/>
      <c r="E6" s="528"/>
    </row>
    <row r="7" spans="1:8" ht="18.75" customHeight="1" thickBot="1" x14ac:dyDescent="0.25">
      <c r="A7" s="525"/>
      <c r="B7" s="227" t="s">
        <v>561</v>
      </c>
      <c r="C7" s="228"/>
      <c r="D7" s="527"/>
      <c r="E7" s="528"/>
    </row>
    <row r="8" spans="1:8" ht="32.25" customHeight="1" thickBot="1" x14ac:dyDescent="0.25">
      <c r="A8" s="525"/>
      <c r="B8" s="227" t="s">
        <v>562</v>
      </c>
      <c r="C8" s="228"/>
      <c r="D8" s="527"/>
      <c r="E8" s="528"/>
      <c r="H8" s="225" t="s">
        <v>563</v>
      </c>
    </row>
    <row r="9" spans="1:8" ht="49.5" customHeight="1" thickBot="1" x14ac:dyDescent="0.25">
      <c r="A9" s="525"/>
      <c r="B9" s="227" t="s">
        <v>564</v>
      </c>
      <c r="C9" s="228"/>
      <c r="D9" s="527"/>
      <c r="E9" s="528"/>
      <c r="H9" s="229" t="s">
        <v>565</v>
      </c>
    </row>
    <row r="10" spans="1:8" ht="33.75" customHeight="1" thickBot="1" x14ac:dyDescent="0.25">
      <c r="A10" s="525"/>
      <c r="B10" s="227" t="s">
        <v>566</v>
      </c>
      <c r="C10" s="228"/>
      <c r="D10" s="527"/>
      <c r="E10" s="528"/>
      <c r="H10" s="225" t="s">
        <v>567</v>
      </c>
    </row>
    <row r="11" spans="1:8" ht="32.25" customHeight="1" thickBot="1" x14ac:dyDescent="0.25">
      <c r="A11" s="525"/>
      <c r="B11" s="227" t="s">
        <v>568</v>
      </c>
      <c r="C11" s="228"/>
      <c r="D11" s="527"/>
      <c r="E11" s="528"/>
    </row>
    <row r="12" spans="1:8" ht="33" customHeight="1" thickBot="1" x14ac:dyDescent="0.25">
      <c r="A12" s="525"/>
      <c r="B12" s="227" t="s">
        <v>569</v>
      </c>
      <c r="C12" s="228"/>
      <c r="D12" s="527"/>
      <c r="E12" s="528"/>
    </row>
    <row r="13" spans="1:8" ht="48.75" customHeight="1" thickBot="1" x14ac:dyDescent="0.25">
      <c r="A13" s="525"/>
      <c r="B13" s="227" t="s">
        <v>570</v>
      </c>
      <c r="C13" s="228"/>
      <c r="D13" s="527"/>
      <c r="E13" s="528"/>
    </row>
    <row r="14" spans="1:8" ht="29.25" customHeight="1" thickBot="1" x14ac:dyDescent="0.25">
      <c r="A14" s="525"/>
      <c r="B14" s="227" t="s">
        <v>571</v>
      </c>
      <c r="C14" s="228"/>
      <c r="D14" s="527"/>
      <c r="E14" s="528"/>
    </row>
    <row r="15" spans="1:8" ht="37.5" customHeight="1" thickBot="1" x14ac:dyDescent="0.25">
      <c r="A15" s="525"/>
      <c r="B15" s="227" t="s">
        <v>572</v>
      </c>
      <c r="C15" s="228"/>
      <c r="D15" s="527"/>
      <c r="E15" s="528"/>
    </row>
    <row r="16" spans="1:8" ht="32.25" customHeight="1" thickBot="1" x14ac:dyDescent="0.25">
      <c r="A16" s="525"/>
      <c r="B16" s="227" t="s">
        <v>573</v>
      </c>
      <c r="C16" s="228"/>
      <c r="D16" s="527"/>
      <c r="E16" s="528"/>
    </row>
    <row r="17" spans="1:5" ht="18.75" customHeight="1" thickBot="1" x14ac:dyDescent="0.25">
      <c r="A17" s="525"/>
      <c r="B17" s="227" t="s">
        <v>574</v>
      </c>
      <c r="C17" s="228"/>
      <c r="D17" s="527"/>
      <c r="E17" s="528"/>
    </row>
    <row r="18" spans="1:5" ht="32.25" customHeight="1" thickBot="1" x14ac:dyDescent="0.25">
      <c r="A18" s="525"/>
      <c r="B18" s="227" t="s">
        <v>575</v>
      </c>
      <c r="C18" s="228"/>
      <c r="D18" s="527"/>
      <c r="E18" s="528"/>
    </row>
    <row r="19" spans="1:5" ht="29.25" customHeight="1" thickBot="1" x14ac:dyDescent="0.25">
      <c r="A19" s="525"/>
      <c r="B19" s="227" t="s">
        <v>576</v>
      </c>
      <c r="C19" s="228"/>
      <c r="D19" s="527"/>
      <c r="E19" s="528"/>
    </row>
    <row r="20" spans="1:5" ht="17.25" customHeight="1" thickBot="1" x14ac:dyDescent="0.25">
      <c r="A20" s="525"/>
      <c r="B20" s="227" t="s">
        <v>577</v>
      </c>
      <c r="C20" s="228"/>
      <c r="D20" s="527"/>
      <c r="E20" s="528"/>
    </row>
    <row r="21" spans="1:5" ht="17.25" customHeight="1" thickBot="1" x14ac:dyDescent="0.25">
      <c r="A21" s="525"/>
      <c r="B21" s="227" t="s">
        <v>578</v>
      </c>
      <c r="C21" s="228"/>
      <c r="D21" s="527"/>
      <c r="E21" s="528"/>
    </row>
    <row r="22" spans="1:5" ht="28.5" customHeight="1" thickBot="1" x14ac:dyDescent="0.25">
      <c r="A22" s="526"/>
      <c r="B22" s="227" t="s">
        <v>579</v>
      </c>
      <c r="C22" s="228"/>
      <c r="D22" s="527"/>
      <c r="E22" s="528"/>
    </row>
    <row r="23" spans="1:5" ht="20.25" customHeight="1" thickBot="1" x14ac:dyDescent="0.25">
      <c r="A23" s="524" t="s">
        <v>580</v>
      </c>
      <c r="B23" s="227" t="s">
        <v>581</v>
      </c>
      <c r="C23" s="228"/>
      <c r="D23" s="527"/>
      <c r="E23" s="528"/>
    </row>
    <row r="24" spans="1:5" ht="40.5" customHeight="1" thickBot="1" x14ac:dyDescent="0.25">
      <c r="A24" s="525"/>
      <c r="B24" s="227" t="s">
        <v>582</v>
      </c>
      <c r="C24" s="228"/>
      <c r="D24" s="527"/>
      <c r="E24" s="528"/>
    </row>
    <row r="25" spans="1:5" ht="21" customHeight="1" thickBot="1" x14ac:dyDescent="0.25">
      <c r="A25" s="525"/>
      <c r="B25" s="227" t="s">
        <v>583</v>
      </c>
      <c r="C25" s="228"/>
      <c r="D25" s="527"/>
      <c r="E25" s="528"/>
    </row>
    <row r="26" spans="1:5" ht="36.75" customHeight="1" thickBot="1" x14ac:dyDescent="0.25">
      <c r="A26" s="526"/>
      <c r="B26" s="227" t="s">
        <v>584</v>
      </c>
      <c r="C26" s="228"/>
      <c r="D26" s="527"/>
      <c r="E26" s="528"/>
    </row>
    <row r="27" spans="1:5" ht="34.5" customHeight="1" thickBot="1" x14ac:dyDescent="0.25">
      <c r="A27" s="524" t="s">
        <v>585</v>
      </c>
      <c r="B27" s="227" t="s">
        <v>586</v>
      </c>
      <c r="C27" s="228"/>
      <c r="D27" s="527"/>
      <c r="E27" s="528"/>
    </row>
    <row r="28" spans="1:5" ht="57.75" customHeight="1" thickBot="1" x14ac:dyDescent="0.25">
      <c r="A28" s="525"/>
      <c r="B28" s="227" t="s">
        <v>587</v>
      </c>
      <c r="C28" s="228"/>
      <c r="D28" s="527"/>
      <c r="E28" s="528"/>
    </row>
    <row r="29" spans="1:5" ht="35.25" customHeight="1" thickBot="1" x14ac:dyDescent="0.25">
      <c r="A29" s="525"/>
      <c r="B29" s="227" t="s">
        <v>588</v>
      </c>
      <c r="C29" s="228"/>
      <c r="D29" s="527"/>
      <c r="E29" s="528"/>
    </row>
    <row r="30" spans="1:5" ht="32.25" customHeight="1" thickBot="1" x14ac:dyDescent="0.25">
      <c r="A30" s="526"/>
      <c r="B30" s="227" t="s">
        <v>589</v>
      </c>
      <c r="C30" s="228"/>
      <c r="D30" s="527"/>
      <c r="E30" s="528"/>
    </row>
    <row r="31" spans="1:5" ht="48" thickBot="1" x14ac:dyDescent="0.3">
      <c r="A31" s="524" t="s">
        <v>590</v>
      </c>
      <c r="B31" s="230" t="s">
        <v>591</v>
      </c>
      <c r="C31" s="228"/>
      <c r="D31" s="527"/>
      <c r="E31" s="528"/>
    </row>
    <row r="32" spans="1:5" ht="48" thickBot="1" x14ac:dyDescent="0.25">
      <c r="A32" s="525"/>
      <c r="B32" s="227" t="s">
        <v>592</v>
      </c>
      <c r="C32" s="228"/>
      <c r="D32" s="527"/>
      <c r="E32" s="528"/>
    </row>
    <row r="33" spans="1:5" ht="48" customHeight="1" thickBot="1" x14ac:dyDescent="0.25">
      <c r="A33" s="526"/>
      <c r="B33" s="227" t="s">
        <v>593</v>
      </c>
      <c r="C33" s="228"/>
      <c r="D33" s="527"/>
      <c r="E33" s="528"/>
    </row>
    <row r="34" spans="1:5" ht="33.75" customHeight="1" thickBot="1" x14ac:dyDescent="0.25">
      <c r="A34" s="524" t="s">
        <v>594</v>
      </c>
      <c r="B34" s="227" t="s">
        <v>595</v>
      </c>
      <c r="C34" s="228"/>
      <c r="D34" s="527"/>
      <c r="E34" s="528"/>
    </row>
    <row r="35" spans="1:5" ht="31.5" customHeight="1" thickBot="1" x14ac:dyDescent="0.25">
      <c r="A35" s="525"/>
      <c r="B35" s="227" t="s">
        <v>596</v>
      </c>
      <c r="C35" s="228"/>
      <c r="D35" s="527"/>
      <c r="E35" s="528"/>
    </row>
    <row r="36" spans="1:5" ht="17.25" customHeight="1" thickBot="1" x14ac:dyDescent="0.25">
      <c r="A36" s="525"/>
      <c r="B36" s="227" t="s">
        <v>597</v>
      </c>
      <c r="C36" s="228"/>
      <c r="D36" s="527"/>
      <c r="E36" s="528"/>
    </row>
    <row r="37" spans="1:5" ht="15.75" customHeight="1" thickBot="1" x14ac:dyDescent="0.25">
      <c r="A37" s="525"/>
      <c r="B37" s="227" t="s">
        <v>598</v>
      </c>
      <c r="C37" s="228"/>
      <c r="D37" s="527"/>
      <c r="E37" s="528"/>
    </row>
    <row r="38" spans="1:5" ht="30.75" customHeight="1" thickBot="1" x14ac:dyDescent="0.25">
      <c r="A38" s="525"/>
      <c r="B38" s="227" t="s">
        <v>599</v>
      </c>
      <c r="C38" s="228"/>
      <c r="D38" s="527"/>
      <c r="E38" s="528"/>
    </row>
    <row r="39" spans="1:5" ht="19.5" customHeight="1" thickBot="1" x14ac:dyDescent="0.25">
      <c r="A39" s="525"/>
      <c r="B39" s="227" t="s">
        <v>600</v>
      </c>
      <c r="C39" s="228"/>
      <c r="D39" s="527"/>
      <c r="E39" s="528"/>
    </row>
    <row r="40" spans="1:5" ht="19.5" customHeight="1" thickBot="1" x14ac:dyDescent="0.25">
      <c r="A40" s="525"/>
      <c r="B40" s="227" t="s">
        <v>601</v>
      </c>
      <c r="C40" s="228"/>
      <c r="D40" s="527"/>
      <c r="E40" s="528"/>
    </row>
    <row r="41" spans="1:5" ht="17.25" customHeight="1" thickBot="1" x14ac:dyDescent="0.25">
      <c r="A41" s="525"/>
      <c r="B41" s="227" t="s">
        <v>602</v>
      </c>
      <c r="C41" s="228"/>
      <c r="D41" s="527"/>
      <c r="E41" s="528"/>
    </row>
    <row r="42" spans="1:5" ht="33" customHeight="1" thickBot="1" x14ac:dyDescent="0.25">
      <c r="A42" s="526"/>
      <c r="B42" s="227" t="s">
        <v>603</v>
      </c>
      <c r="C42" s="228"/>
      <c r="D42" s="527"/>
      <c r="E42" s="528"/>
    </row>
    <row r="43" spans="1:5" ht="34.5" customHeight="1" thickBot="1" x14ac:dyDescent="0.25">
      <c r="A43" s="524" t="s">
        <v>604</v>
      </c>
      <c r="B43" s="227" t="s">
        <v>605</v>
      </c>
      <c r="C43" s="228"/>
      <c r="D43" s="527"/>
      <c r="E43" s="528"/>
    </row>
    <row r="44" spans="1:5" ht="20.25" customHeight="1" thickBot="1" x14ac:dyDescent="0.25">
      <c r="A44" s="525"/>
      <c r="B44" s="227" t="s">
        <v>606</v>
      </c>
      <c r="C44" s="228"/>
      <c r="D44" s="527"/>
      <c r="E44" s="528"/>
    </row>
    <row r="45" spans="1:5" ht="30.75" customHeight="1" thickBot="1" x14ac:dyDescent="0.25">
      <c r="A45" s="525"/>
      <c r="B45" s="227" t="s">
        <v>607</v>
      </c>
      <c r="C45" s="228"/>
      <c r="D45" s="527"/>
      <c r="E45" s="528"/>
    </row>
    <row r="46" spans="1:5" ht="64.5" customHeight="1" thickBot="1" x14ac:dyDescent="0.25">
      <c r="A46" s="526"/>
      <c r="B46" s="227" t="s">
        <v>608</v>
      </c>
      <c r="C46" s="228"/>
      <c r="D46" s="527"/>
      <c r="E46" s="528"/>
    </row>
    <row r="47" spans="1:5" ht="34.5" customHeight="1" thickBot="1" x14ac:dyDescent="0.25">
      <c r="A47" s="524" t="s">
        <v>609</v>
      </c>
      <c r="B47" s="227" t="s">
        <v>610</v>
      </c>
      <c r="C47" s="228"/>
      <c r="D47" s="527"/>
      <c r="E47" s="528"/>
    </row>
    <row r="48" spans="1:5" ht="71.25" customHeight="1" thickBot="1" x14ac:dyDescent="0.25">
      <c r="A48" s="525"/>
      <c r="B48" s="227" t="s">
        <v>611</v>
      </c>
      <c r="C48" s="228"/>
      <c r="D48" s="527"/>
      <c r="E48" s="528"/>
    </row>
    <row r="49" spans="1:5" ht="47.25" customHeight="1" thickBot="1" x14ac:dyDescent="0.25">
      <c r="A49" s="526"/>
      <c r="B49" s="227" t="s">
        <v>612</v>
      </c>
      <c r="C49" s="228"/>
      <c r="D49" s="527"/>
      <c r="E49" s="528"/>
    </row>
    <row r="50" spans="1:5" ht="104.25" customHeight="1" thickBot="1" x14ac:dyDescent="0.25">
      <c r="A50" s="243" t="s">
        <v>613</v>
      </c>
      <c r="B50" s="227" t="s">
        <v>614</v>
      </c>
      <c r="C50" s="228"/>
      <c r="D50" s="527"/>
      <c r="E50" s="528"/>
    </row>
    <row r="51" spans="1:5" ht="81" customHeight="1" thickBot="1" x14ac:dyDescent="0.25">
      <c r="A51" s="524" t="s">
        <v>615</v>
      </c>
      <c r="B51" s="227" t="s">
        <v>616</v>
      </c>
      <c r="C51" s="228"/>
      <c r="D51" s="527"/>
      <c r="E51" s="528"/>
    </row>
    <row r="52" spans="1:5" ht="34.5" customHeight="1" thickBot="1" x14ac:dyDescent="0.25">
      <c r="A52" s="526"/>
      <c r="B52" s="227" t="s">
        <v>617</v>
      </c>
      <c r="C52" s="228"/>
      <c r="D52" s="527"/>
      <c r="E52" s="528"/>
    </row>
    <row r="53" spans="1:5" ht="34.5" customHeight="1" thickBot="1" x14ac:dyDescent="0.25">
      <c r="A53" s="524" t="s">
        <v>618</v>
      </c>
      <c r="B53" s="227" t="s">
        <v>619</v>
      </c>
      <c r="C53" s="228"/>
      <c r="D53" s="527"/>
      <c r="E53" s="528"/>
    </row>
    <row r="54" spans="1:5" ht="33" customHeight="1" thickBot="1" x14ac:dyDescent="0.25">
      <c r="A54" s="525"/>
      <c r="B54" s="227" t="s">
        <v>620</v>
      </c>
      <c r="C54" s="228"/>
      <c r="D54" s="527"/>
      <c r="E54" s="528"/>
    </row>
    <row r="55" spans="1:5" ht="18.75" customHeight="1" thickBot="1" x14ac:dyDescent="0.25">
      <c r="A55" s="525"/>
      <c r="B55" s="227" t="s">
        <v>621</v>
      </c>
      <c r="C55" s="228"/>
      <c r="D55" s="527"/>
      <c r="E55" s="528"/>
    </row>
    <row r="56" spans="1:5" ht="19.5" customHeight="1" thickBot="1" x14ac:dyDescent="0.25">
      <c r="A56" s="525"/>
      <c r="B56" s="227" t="s">
        <v>622</v>
      </c>
      <c r="C56" s="228"/>
      <c r="D56" s="527"/>
      <c r="E56" s="528"/>
    </row>
    <row r="57" spans="1:5" ht="31.5" customHeight="1" thickBot="1" x14ac:dyDescent="0.25">
      <c r="A57" s="525"/>
      <c r="B57" s="227" t="s">
        <v>623</v>
      </c>
      <c r="C57" s="228"/>
      <c r="D57" s="527"/>
      <c r="E57" s="528"/>
    </row>
    <row r="58" spans="1:5" ht="32.25" customHeight="1" thickBot="1" x14ac:dyDescent="0.25">
      <c r="A58" s="526"/>
      <c r="B58" s="227" t="s">
        <v>624</v>
      </c>
      <c r="C58" s="231"/>
      <c r="D58" s="527"/>
      <c r="E58" s="528"/>
    </row>
    <row r="59" spans="1:5" ht="5.25" customHeight="1" thickBot="1" x14ac:dyDescent="0.25">
      <c r="A59" s="540"/>
      <c r="B59" s="540"/>
      <c r="C59" s="540"/>
      <c r="D59" s="540"/>
      <c r="E59" s="540"/>
    </row>
    <row r="60" spans="1:5" ht="16.5" thickBot="1" x14ac:dyDescent="0.3">
      <c r="A60" s="541" t="s">
        <v>625</v>
      </c>
      <c r="B60" s="542"/>
      <c r="C60" s="542"/>
      <c r="D60" s="542"/>
      <c r="E60" s="543"/>
    </row>
    <row r="61" spans="1:5" ht="5.25" customHeight="1" x14ac:dyDescent="0.25">
      <c r="A61" s="232"/>
      <c r="B61" s="232"/>
      <c r="C61" s="232"/>
      <c r="D61" s="232"/>
      <c r="E61" s="232"/>
    </row>
    <row r="62" spans="1:5" ht="15.75" x14ac:dyDescent="0.25">
      <c r="A62" s="233"/>
      <c r="B62" s="234" t="s">
        <v>626</v>
      </c>
      <c r="C62" s="235">
        <f>COUNTIF(C6:C58, "=Pass")</f>
        <v>0</v>
      </c>
      <c r="D62" s="236">
        <f>C62/53</f>
        <v>0</v>
      </c>
      <c r="E62" s="233"/>
    </row>
    <row r="63" spans="1:5" ht="15.75" x14ac:dyDescent="0.25">
      <c r="A63" s="233"/>
      <c r="B63" s="234" t="s">
        <v>627</v>
      </c>
      <c r="C63" s="235">
        <f>COUNTIF(C6:C58, "=Fail")</f>
        <v>0</v>
      </c>
      <c r="D63" s="236">
        <f>C63/53</f>
        <v>0</v>
      </c>
      <c r="E63" s="233"/>
    </row>
    <row r="64" spans="1:5" ht="15.75" x14ac:dyDescent="0.25">
      <c r="A64" s="233"/>
      <c r="B64" s="234" t="s">
        <v>628</v>
      </c>
      <c r="C64" s="235">
        <f>COUNTIF(C6:C58, "=N/A")</f>
        <v>0</v>
      </c>
      <c r="D64" s="236">
        <f>C64/53</f>
        <v>0</v>
      </c>
      <c r="E64" s="233"/>
    </row>
    <row r="65" spans="1:5" ht="5.25" customHeight="1" thickBot="1" x14ac:dyDescent="0.3">
      <c r="A65" s="544"/>
      <c r="B65" s="544"/>
      <c r="C65" s="544"/>
      <c r="D65" s="544"/>
      <c r="E65" s="544"/>
    </row>
    <row r="66" spans="1:5" ht="16.5" thickBot="1" x14ac:dyDescent="0.3">
      <c r="A66" s="541" t="s">
        <v>629</v>
      </c>
      <c r="B66" s="542"/>
      <c r="C66" s="542"/>
      <c r="D66" s="542"/>
      <c r="E66" s="543"/>
    </row>
    <row r="67" spans="1:5" ht="5.25" customHeight="1" thickBot="1" x14ac:dyDescent="0.3">
      <c r="A67" s="545"/>
      <c r="B67" s="545"/>
      <c r="C67" s="545"/>
      <c r="D67" s="545"/>
      <c r="E67" s="545"/>
    </row>
    <row r="68" spans="1:5" ht="102" customHeight="1" thickBot="1" x14ac:dyDescent="0.25">
      <c r="A68" s="546"/>
      <c r="B68" s="547"/>
      <c r="C68" s="547"/>
      <c r="D68" s="547"/>
      <c r="E68" s="548"/>
    </row>
    <row r="69" spans="1:5" ht="5.25" customHeight="1" x14ac:dyDescent="0.2">
      <c r="A69" s="537"/>
      <c r="B69" s="537"/>
      <c r="C69" s="537"/>
      <c r="D69" s="537"/>
      <c r="E69" s="537"/>
    </row>
    <row r="70" spans="1:5" ht="54" customHeight="1" x14ac:dyDescent="0.2">
      <c r="B70" s="238"/>
      <c r="D70" s="538"/>
      <c r="E70" s="538"/>
    </row>
    <row r="71" spans="1:5" ht="15.75" x14ac:dyDescent="0.25">
      <c r="B71" s="240" t="s">
        <v>630</v>
      </c>
      <c r="C71" s="241"/>
      <c r="D71" s="539" t="s">
        <v>631</v>
      </c>
      <c r="E71" s="539"/>
    </row>
    <row r="73" spans="1:5" x14ac:dyDescent="0.2"/>
    <row r="74" spans="1:5" x14ac:dyDescent="0.2"/>
    <row r="75" spans="1:5" x14ac:dyDescent="0.2"/>
    <row r="76" spans="1:5" x14ac:dyDescent="0.2"/>
    <row r="77" spans="1:5" x14ac:dyDescent="0.2"/>
    <row r="78" spans="1:5" x14ac:dyDescent="0.2"/>
  </sheetData>
  <mergeCells count="75">
    <mergeCell ref="A69:E69"/>
    <mergeCell ref="D70:E70"/>
    <mergeCell ref="D71:E71"/>
    <mergeCell ref="A59:E59"/>
    <mergeCell ref="A60:E60"/>
    <mergeCell ref="A65:E65"/>
    <mergeCell ref="A66:E66"/>
    <mergeCell ref="A67:E67"/>
    <mergeCell ref="A68:E68"/>
    <mergeCell ref="D50:E50"/>
    <mergeCell ref="A53:A58"/>
    <mergeCell ref="D53:E53"/>
    <mergeCell ref="D54:E54"/>
    <mergeCell ref="D55:E55"/>
    <mergeCell ref="D56:E56"/>
    <mergeCell ref="D57:E57"/>
    <mergeCell ref="D58:E58"/>
    <mergeCell ref="A51:A52"/>
    <mergeCell ref="D51:E51"/>
    <mergeCell ref="D52:E52"/>
    <mergeCell ref="D41:E41"/>
    <mergeCell ref="D42:E42"/>
    <mergeCell ref="A43:A46"/>
    <mergeCell ref="D43:E43"/>
    <mergeCell ref="D44:E44"/>
    <mergeCell ref="D45:E45"/>
    <mergeCell ref="D46:E46"/>
    <mergeCell ref="A47:A49"/>
    <mergeCell ref="D47:E47"/>
    <mergeCell ref="D48:E48"/>
    <mergeCell ref="D49:E49"/>
    <mergeCell ref="A31:A33"/>
    <mergeCell ref="D31:E31"/>
    <mergeCell ref="D32:E32"/>
    <mergeCell ref="D33:E33"/>
    <mergeCell ref="A34:A42"/>
    <mergeCell ref="D34:E34"/>
    <mergeCell ref="D35:E35"/>
    <mergeCell ref="D36:E36"/>
    <mergeCell ref="D37:E37"/>
    <mergeCell ref="D38:E38"/>
    <mergeCell ref="D39:E39"/>
    <mergeCell ref="D40:E40"/>
    <mergeCell ref="A23:A26"/>
    <mergeCell ref="D23:E23"/>
    <mergeCell ref="D24:E24"/>
    <mergeCell ref="D25:E25"/>
    <mergeCell ref="D26:E26"/>
    <mergeCell ref="A27:A30"/>
    <mergeCell ref="D27:E27"/>
    <mergeCell ref="D28:E28"/>
    <mergeCell ref="D29:E29"/>
    <mergeCell ref="D30:E30"/>
    <mergeCell ref="B2:C2"/>
    <mergeCell ref="A3:E3"/>
    <mergeCell ref="D22:E22"/>
    <mergeCell ref="D11:E11"/>
    <mergeCell ref="D12:E12"/>
    <mergeCell ref="D13:E13"/>
    <mergeCell ref="D14:E14"/>
    <mergeCell ref="D15:E15"/>
    <mergeCell ref="D16:E16"/>
    <mergeCell ref="D17:E17"/>
    <mergeCell ref="D18:E18"/>
    <mergeCell ref="D19:E19"/>
    <mergeCell ref="D20:E20"/>
    <mergeCell ref="D21:E21"/>
    <mergeCell ref="A4:E4"/>
    <mergeCell ref="D5:E5"/>
    <mergeCell ref="A6:A22"/>
    <mergeCell ref="D6:E6"/>
    <mergeCell ref="D7:E7"/>
    <mergeCell ref="D8:E8"/>
    <mergeCell ref="D9:E9"/>
    <mergeCell ref="D10:E10"/>
  </mergeCells>
  <conditionalFormatting sqref="A2">
    <cfRule type="cellIs" dxfId="31" priority="5" stopIfTrue="1" operator="equal">
      <formula>"Lab: "</formula>
    </cfRule>
  </conditionalFormatting>
  <conditionalFormatting sqref="A3 A4:D4">
    <cfRule type="cellIs" dxfId="30" priority="6" stopIfTrue="1" operator="equal">
      <formula>"Software Description: "</formula>
    </cfRule>
  </conditionalFormatting>
  <conditionalFormatting sqref="B2:C2">
    <cfRule type="cellIs" dxfId="29" priority="3" stopIfTrue="1" operator="equal">
      <formula>""</formula>
    </cfRule>
  </conditionalFormatting>
  <conditionalFormatting sqref="C6:C58">
    <cfRule type="cellIs" dxfId="28" priority="8" stopIfTrue="1" operator="equal">
      <formula>"Pass"</formula>
    </cfRule>
    <cfRule type="cellIs" dxfId="27" priority="9" stopIfTrue="1" operator="equal">
      <formula>"Fail"</formula>
    </cfRule>
    <cfRule type="cellIs" dxfId="26" priority="10" stopIfTrue="1" operator="equal">
      <formula>""</formula>
    </cfRule>
  </conditionalFormatting>
  <conditionalFormatting sqref="D2">
    <cfRule type="cellIs" dxfId="25" priority="2" stopIfTrue="1" operator="equal">
      <formula>"Lab: "</formula>
    </cfRule>
  </conditionalFormatting>
  <conditionalFormatting sqref="D6:E58 A68:E68 B70 D70:E70">
    <cfRule type="cellIs" dxfId="24" priority="4" stopIfTrue="1" operator="equal">
      <formula>""</formula>
    </cfRule>
  </conditionalFormatting>
  <conditionalFormatting sqref="E4">
    <cfRule type="cellIs" dxfId="23" priority="7" stopIfTrue="1" operator="equal">
      <formula>"Date: "</formula>
    </cfRule>
  </conditionalFormatting>
  <conditionalFormatting sqref="E2:F2">
    <cfRule type="cellIs" dxfId="22" priority="1" stopIfTrue="1" operator="equal">
      <formula>""</formula>
    </cfRule>
  </conditionalFormatting>
  <dataValidations count="1">
    <dataValidation type="list" allowBlank="1" showInputMessage="1" showErrorMessage="1" sqref="C6:C58" xr:uid="{B0C9D5C1-AF1E-480C-998A-02F0E5D525B7}">
      <formula1>$H$8:$H$10</formula1>
    </dataValidation>
  </dataValidations>
  <pageMargins left="0.2" right="0.2" top="0.5" bottom="0.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sheetPr>
  <dimension ref="B2:M15"/>
  <sheetViews>
    <sheetView view="pageLayout" zoomScaleNormal="100" zoomScaleSheetLayoutView="190" workbookViewId="0">
      <selection activeCell="B20" sqref="B20"/>
    </sheetView>
  </sheetViews>
  <sheetFormatPr defaultColWidth="9.140625" defaultRowHeight="18.75" x14ac:dyDescent="0.3"/>
  <cols>
    <col min="1" max="1" width="4.5703125" style="248" customWidth="1"/>
    <col min="2" max="2" width="17" style="248" customWidth="1"/>
    <col min="3" max="16384" width="9.140625" style="248"/>
  </cols>
  <sheetData>
    <row r="2" spans="2:13" x14ac:dyDescent="0.3">
      <c r="B2" s="247" t="s">
        <v>641</v>
      </c>
    </row>
    <row r="3" spans="2:13" x14ac:dyDescent="0.3">
      <c r="B3" s="247"/>
    </row>
    <row r="4" spans="2:13" x14ac:dyDescent="0.3">
      <c r="B4" s="247" t="s">
        <v>639</v>
      </c>
      <c r="C4" s="551" t="s">
        <v>642</v>
      </c>
      <c r="D4" s="551"/>
      <c r="E4" s="551"/>
      <c r="F4" s="551"/>
      <c r="G4" s="551"/>
      <c r="H4" s="551"/>
      <c r="I4" s="551"/>
      <c r="J4" s="551"/>
      <c r="K4" s="551"/>
      <c r="L4" s="551"/>
    </row>
    <row r="5" spans="2:13" x14ac:dyDescent="0.3">
      <c r="B5" s="247"/>
      <c r="C5" s="251"/>
      <c r="D5" s="251"/>
      <c r="E5" s="251"/>
      <c r="F5" s="251"/>
      <c r="G5" s="251"/>
      <c r="H5" s="251"/>
      <c r="I5" s="251"/>
      <c r="J5" s="251"/>
      <c r="K5" s="251"/>
      <c r="L5" s="251"/>
    </row>
    <row r="6" spans="2:13" x14ac:dyDescent="0.3">
      <c r="B6" s="249" t="s">
        <v>640</v>
      </c>
      <c r="C6" s="550" t="s">
        <v>638</v>
      </c>
      <c r="D6" s="550"/>
      <c r="E6" s="550"/>
      <c r="F6" s="550"/>
      <c r="G6" s="550"/>
      <c r="H6" s="550"/>
      <c r="I6" s="550"/>
      <c r="J6" s="550"/>
      <c r="K6" s="550"/>
      <c r="L6" s="550"/>
      <c r="M6" s="249"/>
    </row>
    <row r="7" spans="2:13" x14ac:dyDescent="0.3">
      <c r="B7" s="249"/>
      <c r="C7" s="549" t="s">
        <v>45</v>
      </c>
      <c r="D7" s="549"/>
      <c r="E7" s="549"/>
      <c r="F7" s="549"/>
      <c r="G7" s="549"/>
      <c r="H7" s="549"/>
      <c r="I7" s="549"/>
      <c r="J7" s="549"/>
      <c r="K7" s="549"/>
      <c r="L7" s="549"/>
      <c r="M7" s="249"/>
    </row>
    <row r="8" spans="2:13" x14ac:dyDescent="0.3">
      <c r="B8" s="249"/>
      <c r="C8" s="250"/>
      <c r="D8" s="250"/>
      <c r="E8" s="250"/>
      <c r="F8" s="250"/>
      <c r="G8" s="250"/>
      <c r="H8" s="250"/>
      <c r="I8" s="250"/>
      <c r="J8" s="250"/>
      <c r="K8" s="250"/>
      <c r="L8" s="250"/>
      <c r="M8" s="249"/>
    </row>
    <row r="9" spans="2:13" x14ac:dyDescent="0.3">
      <c r="B9" s="249" t="s">
        <v>650</v>
      </c>
      <c r="C9" s="552" t="s">
        <v>651</v>
      </c>
      <c r="D9" s="552"/>
      <c r="E9" s="552"/>
      <c r="F9" s="552"/>
      <c r="G9" s="552"/>
      <c r="H9" s="552"/>
      <c r="I9" s="552"/>
      <c r="J9" s="552"/>
      <c r="K9" s="552"/>
      <c r="L9" s="552"/>
      <c r="M9" s="552"/>
    </row>
    <row r="10" spans="2:13" x14ac:dyDescent="0.3">
      <c r="B10" s="249"/>
      <c r="C10" s="250"/>
      <c r="D10" s="250"/>
      <c r="E10" s="250"/>
      <c r="F10" s="250"/>
      <c r="G10" s="250"/>
      <c r="H10" s="250"/>
      <c r="I10" s="250"/>
      <c r="J10" s="250"/>
      <c r="K10" s="250"/>
      <c r="L10" s="250"/>
      <c r="M10" s="249"/>
    </row>
    <row r="11" spans="2:13" x14ac:dyDescent="0.3">
      <c r="B11" s="247" t="s">
        <v>1568</v>
      </c>
      <c r="C11" s="248" t="s">
        <v>636</v>
      </c>
    </row>
    <row r="12" spans="2:13" x14ac:dyDescent="0.3">
      <c r="B12" s="247"/>
    </row>
    <row r="13" spans="2:13" x14ac:dyDescent="0.3">
      <c r="B13" s="247" t="s">
        <v>1569</v>
      </c>
      <c r="C13" s="248" t="s">
        <v>637</v>
      </c>
    </row>
    <row r="15" spans="2:13" x14ac:dyDescent="0.3">
      <c r="B15" s="247" t="s">
        <v>1567</v>
      </c>
      <c r="C15" s="248" t="s">
        <v>1570</v>
      </c>
      <c r="F15" s="248" t="s">
        <v>1571</v>
      </c>
    </row>
  </sheetData>
  <sheetProtection algorithmName="SHA-512" hashValue="neI/wYjTiMaXy2+UfSy7yuw9XGcC0o2ElWUrOyDygHH3VDMXyjmz6lJG+0C2WvjwmhGeqrIcuUspIj7m3uAiTA==" saltValue="5uWcY+ik1YNTqLjNhbwz+Q==" spinCount="100000" sheet="1" objects="1" scenarios="1"/>
  <mergeCells count="4">
    <mergeCell ref="C7:L7"/>
    <mergeCell ref="C6:L6"/>
    <mergeCell ref="C4:L4"/>
    <mergeCell ref="C9:M9"/>
  </mergeCells>
  <pageMargins left="0.7" right="0.7" top="0.75" bottom="0.75" header="0.3" footer="0.3"/>
  <pageSetup orientation="landscape" r:id="rId1"/>
  <headerFooter>
    <oddFooter>&amp;LNIST OWM</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1"/>
    <pageSetUpPr fitToPage="1"/>
  </sheetPr>
  <dimension ref="A1:J12"/>
  <sheetViews>
    <sheetView zoomScale="70" zoomScaleNormal="70" workbookViewId="0">
      <selection activeCell="D9" sqref="D9"/>
    </sheetView>
  </sheetViews>
  <sheetFormatPr defaultRowHeight="15" x14ac:dyDescent="0.25"/>
  <cols>
    <col min="1" max="1" width="2" customWidth="1"/>
    <col min="2" max="2" width="10.5703125" customWidth="1"/>
    <col min="3" max="3" width="21.140625" customWidth="1"/>
    <col min="4" max="6" width="30.140625" customWidth="1"/>
    <col min="7" max="7" width="30.140625" style="6" customWidth="1"/>
    <col min="8" max="8" width="30.140625" customWidth="1"/>
  </cols>
  <sheetData>
    <row r="1" spans="1:10" x14ac:dyDescent="0.25">
      <c r="I1" s="3"/>
    </row>
    <row r="2" spans="1:10" x14ac:dyDescent="0.25">
      <c r="D2" s="562" t="s">
        <v>46</v>
      </c>
      <c r="E2" s="562"/>
      <c r="F2" s="562"/>
      <c r="G2" s="562"/>
      <c r="H2" s="562"/>
      <c r="I2" s="3"/>
    </row>
    <row r="3" spans="1:10" ht="15.75" thickBot="1" x14ac:dyDescent="0.3">
      <c r="A3" s="1"/>
      <c r="B3" s="1" t="s">
        <v>47</v>
      </c>
      <c r="C3" s="1" t="s">
        <v>48</v>
      </c>
      <c r="D3" s="1" t="s">
        <v>49</v>
      </c>
      <c r="E3" s="1" t="s">
        <v>50</v>
      </c>
      <c r="F3" s="1" t="s">
        <v>51</v>
      </c>
      <c r="G3" s="1" t="s">
        <v>52</v>
      </c>
      <c r="H3" s="1" t="s">
        <v>53</v>
      </c>
      <c r="I3" s="3"/>
    </row>
    <row r="4" spans="1:10" ht="56.25" customHeight="1" x14ac:dyDescent="0.25">
      <c r="B4" s="557" t="s">
        <v>54</v>
      </c>
      <c r="C4" s="49" t="s">
        <v>55</v>
      </c>
      <c r="D4" s="568" t="s">
        <v>56</v>
      </c>
      <c r="E4" s="563" t="s">
        <v>57</v>
      </c>
      <c r="F4" s="563" t="s">
        <v>58</v>
      </c>
      <c r="G4" s="560" t="s">
        <v>59</v>
      </c>
      <c r="H4" s="565" t="s">
        <v>60</v>
      </c>
    </row>
    <row r="5" spans="1:10" ht="56.25" customHeight="1" x14ac:dyDescent="0.25">
      <c r="B5" s="558"/>
      <c r="C5" s="50" t="s">
        <v>61</v>
      </c>
      <c r="D5" s="569"/>
      <c r="E5" s="564"/>
      <c r="F5" s="567"/>
      <c r="G5" s="561"/>
      <c r="H5" s="566"/>
    </row>
    <row r="6" spans="1:10" ht="105.75" thickBot="1" x14ac:dyDescent="0.3">
      <c r="B6" s="559"/>
      <c r="C6" s="51" t="s">
        <v>54</v>
      </c>
      <c r="D6" s="570"/>
      <c r="E6" s="56" t="s">
        <v>62</v>
      </c>
      <c r="F6" s="57" t="s">
        <v>63</v>
      </c>
      <c r="G6" s="57" t="s">
        <v>64</v>
      </c>
      <c r="H6" s="58" t="s">
        <v>65</v>
      </c>
    </row>
    <row r="7" spans="1:10" ht="150.75" thickBot="1" x14ac:dyDescent="0.3">
      <c r="B7" s="47" t="s">
        <v>66</v>
      </c>
      <c r="C7" s="52" t="s">
        <v>67</v>
      </c>
      <c r="D7" s="191" t="s">
        <v>68</v>
      </c>
      <c r="E7" s="192" t="s">
        <v>69</v>
      </c>
      <c r="F7" s="192" t="s">
        <v>70</v>
      </c>
      <c r="G7" s="192" t="s">
        <v>71</v>
      </c>
      <c r="H7" s="193" t="s">
        <v>72</v>
      </c>
    </row>
    <row r="8" spans="1:10" ht="150" x14ac:dyDescent="0.25">
      <c r="B8" s="555" t="s">
        <v>73</v>
      </c>
      <c r="C8" s="553" t="s">
        <v>74</v>
      </c>
      <c r="D8" s="187" t="s">
        <v>75</v>
      </c>
      <c r="E8" s="188" t="s">
        <v>76</v>
      </c>
      <c r="F8" s="189" t="s">
        <v>77</v>
      </c>
      <c r="G8" s="189" t="s">
        <v>78</v>
      </c>
      <c r="H8" s="190" t="s">
        <v>79</v>
      </c>
    </row>
    <row r="9" spans="1:10" ht="135.75" thickBot="1" x14ac:dyDescent="0.3">
      <c r="B9" s="556"/>
      <c r="C9" s="554"/>
      <c r="D9" s="186" t="s">
        <v>80</v>
      </c>
      <c r="E9" s="45" t="s">
        <v>81</v>
      </c>
      <c r="F9" s="46" t="s">
        <v>82</v>
      </c>
      <c r="G9" s="46" t="s">
        <v>83</v>
      </c>
      <c r="H9" s="54" t="s">
        <v>84</v>
      </c>
    </row>
    <row r="10" spans="1:10" ht="45.75" thickBot="1" x14ac:dyDescent="0.3">
      <c r="B10" s="48" t="s">
        <v>85</v>
      </c>
      <c r="C10" s="53" t="s">
        <v>86</v>
      </c>
      <c r="D10" s="194" t="s">
        <v>87</v>
      </c>
      <c r="E10" s="195" t="s">
        <v>88</v>
      </c>
      <c r="F10" s="195" t="s">
        <v>89</v>
      </c>
      <c r="G10" s="195" t="s">
        <v>90</v>
      </c>
      <c r="H10" s="196" t="s">
        <v>91</v>
      </c>
      <c r="I10" s="5"/>
      <c r="J10" s="5"/>
    </row>
    <row r="11" spans="1:10" x14ac:dyDescent="0.25">
      <c r="G11" s="7"/>
      <c r="I11" s="5"/>
      <c r="J11" s="5"/>
    </row>
    <row r="12" spans="1:10" x14ac:dyDescent="0.25">
      <c r="B12" t="s">
        <v>92</v>
      </c>
      <c r="G12" s="7"/>
      <c r="I12" s="5"/>
      <c r="J12" s="5"/>
    </row>
  </sheetData>
  <sheetProtection algorithmName="SHA-512" hashValue="hxaj6bCeYWPfGzXt/tXwoxEdPcY+HpyoC9hJaWpNVRmPs5I7Z4TxBGQZbg+8PPWyI4np67l54pvY/3blMujiDA==" saltValue="04n7VlmRevcFAIBYsBRYrw==" spinCount="100000" sheet="1" objects="1" scenarios="1"/>
  <mergeCells count="9">
    <mergeCell ref="C8:C9"/>
    <mergeCell ref="B8:B9"/>
    <mergeCell ref="B4:B6"/>
    <mergeCell ref="G4:G5"/>
    <mergeCell ref="D2:H2"/>
    <mergeCell ref="E4:E5"/>
    <mergeCell ref="H4:H5"/>
    <mergeCell ref="F4:F5"/>
    <mergeCell ref="D4:D6"/>
  </mergeCells>
  <pageMargins left="0.25" right="0.25" top="0.75" bottom="0.75" header="0.3" footer="0.3"/>
  <pageSetup scale="66" orientation="landscape"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61"/>
  </sheetPr>
  <dimension ref="A1:W184"/>
  <sheetViews>
    <sheetView tabSelected="1" zoomScale="70" zoomScaleNormal="70" zoomScaleSheetLayoutView="70" zoomScalePageLayoutView="115" workbookViewId="0">
      <selection activeCell="B183" sqref="B183:F184"/>
    </sheetView>
  </sheetViews>
  <sheetFormatPr defaultRowHeight="15" x14ac:dyDescent="0.25"/>
  <cols>
    <col min="1" max="1" width="4.42578125" customWidth="1"/>
    <col min="2" max="2" width="27" customWidth="1"/>
    <col min="3" max="3" width="22.85546875" customWidth="1"/>
    <col min="4" max="4" width="25.140625" customWidth="1"/>
    <col min="5" max="6" width="30.42578125" customWidth="1"/>
    <col min="7" max="7" width="21.85546875" customWidth="1"/>
    <col min="8" max="8" width="13.42578125" customWidth="1"/>
    <col min="9" max="9" width="13" customWidth="1"/>
    <col min="10" max="10" width="15.42578125" customWidth="1"/>
    <col min="11" max="11" width="2.140625" style="78" customWidth="1"/>
    <col min="12" max="13" width="9.140625" style="411"/>
    <col min="14" max="14" width="20" style="411" bestFit="1" customWidth="1"/>
    <col min="15" max="15" width="20" style="411" customWidth="1"/>
    <col min="16" max="16" width="14.42578125" style="78" bestFit="1" customWidth="1"/>
    <col min="17" max="17" width="14" style="78" bestFit="1" customWidth="1"/>
    <col min="18" max="18" width="30" style="78" bestFit="1" customWidth="1"/>
    <col min="19" max="19" width="12.42578125" style="78" bestFit="1" customWidth="1"/>
    <col min="20" max="20" width="13.42578125" style="78" bestFit="1" customWidth="1"/>
    <col min="21" max="22" width="9.140625" style="78"/>
  </cols>
  <sheetData>
    <row r="1" spans="2:22" ht="21" x14ac:dyDescent="0.35">
      <c r="B1" s="26" t="s">
        <v>93</v>
      </c>
    </row>
    <row r="2" spans="2:22" ht="21" x14ac:dyDescent="0.35">
      <c r="B2" s="332" t="s">
        <v>94</v>
      </c>
    </row>
    <row r="4" spans="2:22" ht="18.75" x14ac:dyDescent="0.25">
      <c r="B4" s="72" t="s">
        <v>95</v>
      </c>
      <c r="C4" s="571" t="str">
        <f>CONCATENATE(IF(C7="National","NAT",C7),"-",IF(C8=2018,18,IF(C8=2019,19,IF(C8=2020,20,IF(C8=2021,21,IF(C8=2022,22,IF(C8=2022,22,IF(C8=2023,23,IF(C8=2024,24,IF(C8=2025,25,IF(C8=2026,26,IF(C8=2027,27,IF(C8=2028,28,IF(C8=2029,29,IF(C8=2030,30,"")))))))))))))),"-",IF(C9="Mass Echelon I","MI",IF(C9="Mass Echelon II","MII",IF(C9="Mass Echelon III","MIII",IF(C9="Volume Echelon I, VG","VG",IF(C9="Volume Echelon II, VT","VT",IF(C9="Length, Tape","LT",IF(C9="Length, Ruler","LR",IF(C9="Temperature Class I","T1",IF(C9="Temperature Class II","T2",IF(C9="Temperature Class III","T3",IF(C9="Temperature Class IV","T4",IF(C9="Frequency","FF",IF(C9="Time","FT",IF(C9="Hydrometer","H",IF(C9="Grain Moisture","GM",IF(C9="Wheel Load Weigher","WW","")))))))))))))))),"-",IF(C10="US Customary","US",IF(C10="Metric","M","")),"-",C11)</f>
        <v>----</v>
      </c>
      <c r="D4" s="572"/>
      <c r="M4" s="413"/>
    </row>
    <row r="5" spans="2:22" ht="18.75" x14ac:dyDescent="0.25">
      <c r="B5" s="145"/>
      <c r="C5" s="145"/>
      <c r="D5" s="145"/>
      <c r="M5" s="413"/>
    </row>
    <row r="6" spans="2:22" x14ac:dyDescent="0.25">
      <c r="B6" s="147" t="s">
        <v>96</v>
      </c>
      <c r="M6" s="413"/>
    </row>
    <row r="7" spans="2:22" x14ac:dyDescent="0.25">
      <c r="B7" s="38" t="s">
        <v>97</v>
      </c>
      <c r="C7" s="59"/>
    </row>
    <row r="8" spans="2:22" x14ac:dyDescent="0.25">
      <c r="B8" s="38" t="s">
        <v>98</v>
      </c>
      <c r="C8" s="59"/>
    </row>
    <row r="9" spans="2:22" x14ac:dyDescent="0.25">
      <c r="B9" s="38" t="s">
        <v>99</v>
      </c>
      <c r="C9" s="59"/>
    </row>
    <row r="10" spans="2:22" x14ac:dyDescent="0.25">
      <c r="B10" s="38" t="s">
        <v>100</v>
      </c>
      <c r="C10" s="59"/>
    </row>
    <row r="11" spans="2:22" x14ac:dyDescent="0.25">
      <c r="B11" s="38" t="s">
        <v>101</v>
      </c>
      <c r="C11" s="59"/>
    </row>
    <row r="12" spans="2:22" x14ac:dyDescent="0.25">
      <c r="B12" s="38" t="s">
        <v>102</v>
      </c>
      <c r="C12" s="59"/>
    </row>
    <row r="14" spans="2:22" x14ac:dyDescent="0.25">
      <c r="B14" s="146" t="s">
        <v>103</v>
      </c>
      <c r="C14" s="506" t="s">
        <v>104</v>
      </c>
      <c r="D14" s="506" t="s">
        <v>1006</v>
      </c>
      <c r="E14" s="506" t="s">
        <v>106</v>
      </c>
      <c r="F14" s="506" t="s">
        <v>107</v>
      </c>
      <c r="J14" s="78"/>
      <c r="K14" s="411"/>
      <c r="O14" s="78"/>
      <c r="V14"/>
    </row>
    <row r="15" spans="2:22" x14ac:dyDescent="0.25">
      <c r="B15" s="520" t="s">
        <v>108</v>
      </c>
      <c r="C15" s="73"/>
      <c r="D15" s="73"/>
      <c r="E15" s="424"/>
      <c r="F15" s="73"/>
      <c r="J15" s="78"/>
      <c r="K15" s="411"/>
      <c r="O15" s="78"/>
      <c r="V15"/>
    </row>
    <row r="16" spans="2:22" x14ac:dyDescent="0.25">
      <c r="B16" s="38" t="s">
        <v>109</v>
      </c>
      <c r="C16" s="73"/>
      <c r="D16" s="73"/>
      <c r="E16" s="73"/>
      <c r="F16" s="73"/>
      <c r="J16" s="78"/>
      <c r="K16" s="411"/>
      <c r="O16" s="78"/>
      <c r="V16"/>
    </row>
    <row r="17" spans="1:23" x14ac:dyDescent="0.25">
      <c r="B17" s="38" t="s">
        <v>802</v>
      </c>
      <c r="C17" s="73"/>
      <c r="D17" s="73"/>
      <c r="E17" s="73"/>
      <c r="F17" s="73"/>
      <c r="J17" s="78"/>
      <c r="K17" s="411"/>
      <c r="O17" s="78"/>
      <c r="V17"/>
    </row>
    <row r="18" spans="1:23" x14ac:dyDescent="0.25">
      <c r="B18" s="38" t="s">
        <v>803</v>
      </c>
      <c r="C18" s="73"/>
      <c r="D18" s="73"/>
      <c r="E18" s="73"/>
      <c r="F18" s="73"/>
      <c r="J18" s="78"/>
      <c r="K18" s="411"/>
      <c r="O18" s="78"/>
      <c r="V18"/>
    </row>
    <row r="19" spans="1:23" x14ac:dyDescent="0.25">
      <c r="B19" s="38" t="s">
        <v>110</v>
      </c>
      <c r="C19" s="143"/>
      <c r="D19" s="410" t="str">
        <f>IF($C$19&gt;0,VLOOKUP($C$19,LookupTables!$AD$3:$AH$13,5,FALSE),"---")</f>
        <v>---</v>
      </c>
      <c r="E19" s="410" t="str">
        <f>IF($C$19&gt;0,VLOOKUP($C$19,LookupTables!$AD$3:$AH$13,2,FALSE),"---")</f>
        <v>---</v>
      </c>
      <c r="F19" s="410" t="str">
        <f>IF($C$19&gt;0,VLOOKUP($C$19,LookupTables!$AD$3:$AH$13,3,FALSE),"---")</f>
        <v>---</v>
      </c>
      <c r="J19" s="78"/>
      <c r="K19" s="411"/>
      <c r="O19" s="78"/>
      <c r="V19"/>
    </row>
    <row r="20" spans="1:23" x14ac:dyDescent="0.25">
      <c r="B20" s="38" t="s">
        <v>111</v>
      </c>
      <c r="C20" s="143"/>
      <c r="D20" s="143" t="str">
        <f>IF($C$20&gt;0,VLOOKUP($C$20,LookupTables!$AD$18:$AH$25,5,FALSE),"---")</f>
        <v>---</v>
      </c>
      <c r="E20" s="410" t="str">
        <f>IF($C$20&gt;0,VLOOKUP($C$20,LookupTables!$AD$18:$AH$25,2,FALSE),"---")</f>
        <v>---</v>
      </c>
      <c r="F20" s="410" t="str">
        <f>IF($C$20&gt;0,VLOOKUP($C$20,LookupTables!$AD$18:$AH$25,3,FALSE),"---")</f>
        <v>---</v>
      </c>
      <c r="J20" s="78"/>
      <c r="K20" s="411"/>
      <c r="O20" s="78"/>
      <c r="V20"/>
    </row>
    <row r="21" spans="1:23" x14ac:dyDescent="0.25">
      <c r="B21" s="38" t="s">
        <v>804</v>
      </c>
      <c r="C21" s="143"/>
      <c r="D21" s="143" t="str">
        <f>IF($C$21&gt;0,VLOOKUP($C$21,LookupTables!$AD$18:$AH$25,5,FALSE),"---")</f>
        <v>---</v>
      </c>
      <c r="E21" s="410" t="str">
        <f>IF($C$21&gt;0,VLOOKUP($C$21,LookupTables!$AD$18:$AH$25,2,FALSE),"---")</f>
        <v>---</v>
      </c>
      <c r="F21" s="410" t="str">
        <f>IF($C$21&gt;0,VLOOKUP($C$21,LookupTables!$AD$18:$AH$25,3,FALSE),"---")</f>
        <v>---</v>
      </c>
      <c r="J21" s="78"/>
      <c r="K21" s="411"/>
      <c r="O21" s="78"/>
      <c r="V21"/>
    </row>
    <row r="22" spans="1:23" x14ac:dyDescent="0.25">
      <c r="B22" s="38" t="s">
        <v>112</v>
      </c>
      <c r="C22" s="73"/>
      <c r="D22" s="73"/>
      <c r="E22" s="73"/>
      <c r="F22" s="73"/>
      <c r="J22" s="78"/>
      <c r="K22" s="411"/>
      <c r="O22" s="78"/>
      <c r="V22"/>
    </row>
    <row r="24" spans="1:23" x14ac:dyDescent="0.25">
      <c r="B24" s="573" t="s">
        <v>113</v>
      </c>
      <c r="C24" s="574"/>
      <c r="D24" s="257" t="s">
        <v>114</v>
      </c>
    </row>
    <row r="25" spans="1:23" x14ac:dyDescent="0.25">
      <c r="B25" s="11"/>
      <c r="C25" s="18" t="s">
        <v>115</v>
      </c>
      <c r="D25" s="481"/>
    </row>
    <row r="26" spans="1:23" x14ac:dyDescent="0.25">
      <c r="B26" s="11"/>
      <c r="C26" s="18" t="s">
        <v>116</v>
      </c>
      <c r="D26" s="481"/>
    </row>
    <row r="27" spans="1:23" x14ac:dyDescent="0.25">
      <c r="B27" s="11"/>
      <c r="C27" s="18" t="s">
        <v>117</v>
      </c>
      <c r="D27" s="481"/>
    </row>
    <row r="28" spans="1:23" x14ac:dyDescent="0.25">
      <c r="B28" s="11"/>
      <c r="C28" s="18" t="s">
        <v>118</v>
      </c>
      <c r="D28" s="74"/>
    </row>
    <row r="30" spans="1:23" x14ac:dyDescent="0.25">
      <c r="B30" s="71" t="s">
        <v>119</v>
      </c>
      <c r="H30" s="152" t="s">
        <v>635</v>
      </c>
    </row>
    <row r="31" spans="1:23" ht="15.75" thickBot="1" x14ac:dyDescent="0.3">
      <c r="A31" s="83" t="s">
        <v>120</v>
      </c>
      <c r="B31" s="448" t="s">
        <v>121</v>
      </c>
      <c r="C31" s="448" t="s">
        <v>122</v>
      </c>
      <c r="D31" s="448" t="s">
        <v>123</v>
      </c>
      <c r="E31" s="448" t="s">
        <v>1016</v>
      </c>
      <c r="F31" s="448" t="s">
        <v>124</v>
      </c>
      <c r="G31" s="448" t="s">
        <v>1409</v>
      </c>
      <c r="H31" s="448" t="s">
        <v>125</v>
      </c>
      <c r="I31" s="449" t="s">
        <v>126</v>
      </c>
      <c r="J31" s="449" t="s">
        <v>127</v>
      </c>
      <c r="K31"/>
      <c r="L31" s="78"/>
      <c r="P31" s="411"/>
      <c r="W31" s="78"/>
    </row>
    <row r="32" spans="1:23" x14ac:dyDescent="0.25">
      <c r="A32" s="1">
        <v>1</v>
      </c>
      <c r="B32" s="60"/>
      <c r="C32" s="82"/>
      <c r="D32" s="82"/>
      <c r="E32" s="480" t="str">
        <f>IF($D32="","",VLOOKUP($D32,LookupTables!$B$3:$D$172,2,0))</f>
        <v/>
      </c>
      <c r="F32" s="82"/>
      <c r="G32" s="480" t="str">
        <f>IF(OR($E32="", $F32=""),"",CONCATENATE($E32,"-",LEFT($F32,1),LEFT(MID($F32,FIND(" ",$F32)+1,256),1)))</f>
        <v/>
      </c>
      <c r="H32" s="82"/>
      <c r="I32" s="82"/>
      <c r="J32" s="75"/>
      <c r="K32"/>
      <c r="L32" s="78"/>
      <c r="P32" s="411"/>
      <c r="W32" s="78"/>
    </row>
    <row r="33" spans="1:23" x14ac:dyDescent="0.25">
      <c r="A33" s="1">
        <v>2</v>
      </c>
      <c r="B33" s="60"/>
      <c r="C33" s="82"/>
      <c r="D33" s="82"/>
      <c r="E33" s="480" t="str">
        <f>IF($D33="","",VLOOKUP($D33,LookupTables!$B$3:$D$172,2,0))</f>
        <v/>
      </c>
      <c r="F33" s="82"/>
      <c r="G33" s="480" t="str">
        <f t="shared" ref="G33:G96" si="0">IF(OR($E33="", $F33=""),"",CONCATENATE($E33,"-",LEFT($F33,1),LEFT(MID($F33,FIND(" ",$F33)+1,256),1)))</f>
        <v/>
      </c>
      <c r="H33" s="82"/>
      <c r="I33" s="82"/>
      <c r="J33" s="75"/>
      <c r="K33"/>
      <c r="L33" s="78"/>
      <c r="P33" s="411"/>
      <c r="W33" s="78"/>
    </row>
    <row r="34" spans="1:23" x14ac:dyDescent="0.25">
      <c r="A34" s="1">
        <v>3</v>
      </c>
      <c r="B34" s="60"/>
      <c r="C34" s="82"/>
      <c r="D34" s="82"/>
      <c r="E34" s="480" t="str">
        <f>IF($D34="","",VLOOKUP($D34,LookupTables!$B$3:$D$172,2,0))</f>
        <v/>
      </c>
      <c r="F34" s="82"/>
      <c r="G34" s="480" t="str">
        <f t="shared" si="0"/>
        <v/>
      </c>
      <c r="H34" s="82"/>
      <c r="I34" s="82"/>
      <c r="J34" s="75"/>
      <c r="K34"/>
      <c r="L34" s="78"/>
      <c r="P34" s="411"/>
      <c r="W34" s="78"/>
    </row>
    <row r="35" spans="1:23" x14ac:dyDescent="0.25">
      <c r="A35" s="1">
        <v>4</v>
      </c>
      <c r="B35" s="60"/>
      <c r="C35" s="82"/>
      <c r="D35" s="82"/>
      <c r="E35" s="480" t="str">
        <f>IF($D35="","",VLOOKUP($D35,LookupTables!$B$3:$D$172,2,0))</f>
        <v/>
      </c>
      <c r="F35" s="82"/>
      <c r="G35" s="480" t="str">
        <f t="shared" si="0"/>
        <v/>
      </c>
      <c r="H35" s="82"/>
      <c r="I35" s="82"/>
      <c r="J35" s="75"/>
      <c r="K35"/>
      <c r="L35" s="78"/>
      <c r="P35" s="411"/>
      <c r="W35" s="78"/>
    </row>
    <row r="36" spans="1:23" x14ac:dyDescent="0.25">
      <c r="A36" s="1">
        <v>5</v>
      </c>
      <c r="B36" s="60"/>
      <c r="C36" s="75"/>
      <c r="D36" s="82"/>
      <c r="E36" s="480" t="str">
        <f>IF($D36="","",VLOOKUP($D36,LookupTables!$B$3:$D$172,2,0))</f>
        <v/>
      </c>
      <c r="F36" s="82"/>
      <c r="G36" s="480" t="str">
        <f t="shared" si="0"/>
        <v/>
      </c>
      <c r="H36" s="82"/>
      <c r="I36" s="82"/>
      <c r="J36" s="75"/>
      <c r="K36"/>
      <c r="L36" s="78"/>
      <c r="P36" s="411"/>
      <c r="W36" s="78"/>
    </row>
    <row r="37" spans="1:23" x14ac:dyDescent="0.25">
      <c r="A37" s="1">
        <v>6</v>
      </c>
      <c r="B37" s="60"/>
      <c r="C37" s="75"/>
      <c r="D37" s="82"/>
      <c r="E37" s="480" t="str">
        <f>IF($D37="","",VLOOKUP($D37,LookupTables!$B$3:$D$172,2,0))</f>
        <v/>
      </c>
      <c r="F37" s="82"/>
      <c r="G37" s="480" t="str">
        <f t="shared" si="0"/>
        <v/>
      </c>
      <c r="H37" s="82"/>
      <c r="I37" s="82"/>
      <c r="J37" s="75"/>
      <c r="K37"/>
      <c r="L37" s="78"/>
      <c r="P37" s="411"/>
      <c r="W37" s="78"/>
    </row>
    <row r="38" spans="1:23" x14ac:dyDescent="0.25">
      <c r="A38" s="1">
        <v>7</v>
      </c>
      <c r="B38" s="60"/>
      <c r="C38" s="75"/>
      <c r="D38" s="82"/>
      <c r="E38" s="480" t="str">
        <f>IF($D38="","",VLOOKUP($D38,LookupTables!$B$3:$D$172,2,0))</f>
        <v/>
      </c>
      <c r="F38" s="82"/>
      <c r="G38" s="480" t="str">
        <f t="shared" si="0"/>
        <v/>
      </c>
      <c r="H38" s="82"/>
      <c r="I38" s="82"/>
      <c r="J38" s="75"/>
      <c r="K38"/>
      <c r="L38" s="78"/>
      <c r="P38" s="411"/>
      <c r="W38" s="78"/>
    </row>
    <row r="39" spans="1:23" x14ac:dyDescent="0.25">
      <c r="A39" s="1">
        <v>8</v>
      </c>
      <c r="B39" s="60"/>
      <c r="C39" s="75"/>
      <c r="D39" s="82"/>
      <c r="E39" s="480" t="str">
        <f>IF($D39="","",VLOOKUP($D39,LookupTables!$B$3:$D$172,2,0))</f>
        <v/>
      </c>
      <c r="F39" s="82"/>
      <c r="G39" s="480" t="str">
        <f t="shared" si="0"/>
        <v/>
      </c>
      <c r="H39" s="82"/>
      <c r="I39" s="82"/>
      <c r="J39" s="75"/>
      <c r="K39"/>
      <c r="L39" s="78"/>
      <c r="P39" s="411"/>
      <c r="W39" s="78"/>
    </row>
    <row r="40" spans="1:23" x14ac:dyDescent="0.25">
      <c r="A40" s="1">
        <v>9</v>
      </c>
      <c r="B40" s="60"/>
      <c r="C40" s="75"/>
      <c r="D40" s="82"/>
      <c r="E40" s="480" t="str">
        <f>IF($D40="","",VLOOKUP($D40,LookupTables!$B$3:$D$172,2,0))</f>
        <v/>
      </c>
      <c r="F40" s="82"/>
      <c r="G40" s="480" t="str">
        <f t="shared" si="0"/>
        <v/>
      </c>
      <c r="H40" s="82"/>
      <c r="I40" s="82"/>
      <c r="J40" s="75"/>
      <c r="K40"/>
      <c r="L40" s="78"/>
      <c r="P40" s="411"/>
      <c r="W40" s="78"/>
    </row>
    <row r="41" spans="1:23" x14ac:dyDescent="0.25">
      <c r="A41" s="1">
        <v>10</v>
      </c>
      <c r="B41" s="60"/>
      <c r="C41" s="75"/>
      <c r="D41" s="82"/>
      <c r="E41" s="480" t="str">
        <f>IF($D41="","",VLOOKUP($D41,LookupTables!$B$3:$D$172,2,0))</f>
        <v/>
      </c>
      <c r="F41" s="82"/>
      <c r="G41" s="480" t="str">
        <f t="shared" si="0"/>
        <v/>
      </c>
      <c r="H41" s="82"/>
      <c r="I41" s="82"/>
      <c r="J41" s="75"/>
      <c r="K41"/>
      <c r="L41" s="78"/>
      <c r="P41" s="411"/>
      <c r="W41" s="78"/>
    </row>
    <row r="42" spans="1:23" x14ac:dyDescent="0.25">
      <c r="A42" s="1">
        <v>11</v>
      </c>
      <c r="B42" s="60"/>
      <c r="C42" s="75"/>
      <c r="D42" s="82"/>
      <c r="E42" s="480" t="str">
        <f>IF($D42="","",VLOOKUP($D42,LookupTables!$B$3:$D$172,2,0))</f>
        <v/>
      </c>
      <c r="F42" s="82"/>
      <c r="G42" s="480" t="str">
        <f t="shared" si="0"/>
        <v/>
      </c>
      <c r="H42" s="82"/>
      <c r="I42" s="82"/>
      <c r="J42" s="75"/>
      <c r="K42"/>
      <c r="L42" s="78"/>
      <c r="P42" s="411"/>
      <c r="W42" s="78"/>
    </row>
    <row r="43" spans="1:23" x14ac:dyDescent="0.25">
      <c r="A43" s="1">
        <v>12</v>
      </c>
      <c r="B43" s="60"/>
      <c r="C43" s="75"/>
      <c r="D43" s="82"/>
      <c r="E43" s="480" t="str">
        <f>IF($D43="","",VLOOKUP($D43,LookupTables!$B$3:$D$172,2,0))</f>
        <v/>
      </c>
      <c r="F43" s="82"/>
      <c r="G43" s="480" t="str">
        <f t="shared" si="0"/>
        <v/>
      </c>
      <c r="H43" s="82"/>
      <c r="I43" s="82"/>
      <c r="J43" s="75"/>
      <c r="K43"/>
      <c r="L43" s="78"/>
      <c r="P43" s="411"/>
      <c r="W43" s="78"/>
    </row>
    <row r="44" spans="1:23" x14ac:dyDescent="0.25">
      <c r="A44" s="1">
        <v>13</v>
      </c>
      <c r="B44" s="60"/>
      <c r="C44" s="75"/>
      <c r="D44" s="82"/>
      <c r="E44" s="480" t="str">
        <f>IF($D44="","",VLOOKUP($D44,LookupTables!$B$3:$D$172,2,0))</f>
        <v/>
      </c>
      <c r="F44" s="82"/>
      <c r="G44" s="480" t="str">
        <f t="shared" si="0"/>
        <v/>
      </c>
      <c r="H44" s="82"/>
      <c r="I44" s="82"/>
      <c r="J44" s="75"/>
      <c r="K44"/>
      <c r="L44" s="78"/>
      <c r="P44" s="411"/>
      <c r="W44" s="78"/>
    </row>
    <row r="45" spans="1:23" x14ac:dyDescent="0.25">
      <c r="A45" s="1">
        <v>14</v>
      </c>
      <c r="B45" s="60"/>
      <c r="C45" s="75"/>
      <c r="D45" s="82"/>
      <c r="E45" s="480" t="str">
        <f>IF($D45="","",VLOOKUP($D45,LookupTables!$B$3:$D$172,2,0))</f>
        <v/>
      </c>
      <c r="F45" s="82"/>
      <c r="G45" s="480" t="str">
        <f t="shared" si="0"/>
        <v/>
      </c>
      <c r="H45" s="82"/>
      <c r="I45" s="82"/>
      <c r="J45" s="75"/>
      <c r="K45"/>
      <c r="L45" s="78"/>
      <c r="P45" s="411"/>
      <c r="W45" s="78"/>
    </row>
    <row r="46" spans="1:23" x14ac:dyDescent="0.25">
      <c r="A46" s="1">
        <v>15</v>
      </c>
      <c r="B46" s="60"/>
      <c r="C46" s="75"/>
      <c r="D46" s="82"/>
      <c r="E46" s="480" t="str">
        <f>IF($D46="","",VLOOKUP($D46,LookupTables!$B$3:$D$172,2,0))</f>
        <v/>
      </c>
      <c r="F46" s="82"/>
      <c r="G46" s="480" t="str">
        <f t="shared" si="0"/>
        <v/>
      </c>
      <c r="H46" s="82"/>
      <c r="I46" s="82"/>
      <c r="J46" s="75"/>
      <c r="K46"/>
      <c r="L46" s="78"/>
      <c r="P46" s="411"/>
      <c r="W46" s="78"/>
    </row>
    <row r="47" spans="1:23" x14ac:dyDescent="0.25">
      <c r="A47" s="1">
        <v>16</v>
      </c>
      <c r="B47" s="60"/>
      <c r="C47" s="75"/>
      <c r="D47" s="82"/>
      <c r="E47" s="480" t="str">
        <f>IF($D47="","",VLOOKUP($D47,LookupTables!$B$3:$D$172,2,0))</f>
        <v/>
      </c>
      <c r="F47" s="82"/>
      <c r="G47" s="480" t="str">
        <f t="shared" si="0"/>
        <v/>
      </c>
      <c r="H47" s="82"/>
      <c r="I47" s="82"/>
      <c r="J47" s="75"/>
      <c r="K47"/>
      <c r="L47" s="78"/>
      <c r="P47" s="411"/>
      <c r="Q47" s="411"/>
      <c r="W47" s="78"/>
    </row>
    <row r="48" spans="1:23" x14ac:dyDescent="0.25">
      <c r="A48" s="1">
        <v>17</v>
      </c>
      <c r="B48" s="60"/>
      <c r="C48" s="75"/>
      <c r="D48" s="82"/>
      <c r="E48" s="480" t="str">
        <f>IF($D48="","",VLOOKUP($D48,LookupTables!$B$3:$D$172,2,0))</f>
        <v/>
      </c>
      <c r="F48" s="82"/>
      <c r="G48" s="480" t="str">
        <f t="shared" si="0"/>
        <v/>
      </c>
      <c r="H48" s="82"/>
      <c r="I48" s="82"/>
      <c r="J48" s="75"/>
      <c r="K48"/>
      <c r="L48" s="78"/>
      <c r="P48" s="411"/>
      <c r="Q48" s="411"/>
      <c r="W48" s="78"/>
    </row>
    <row r="49" spans="1:23" x14ac:dyDescent="0.25">
      <c r="A49" s="1">
        <v>18</v>
      </c>
      <c r="B49" s="60"/>
      <c r="C49" s="75"/>
      <c r="D49" s="82"/>
      <c r="E49" s="480" t="str">
        <f>IF($D49="","",VLOOKUP($D49,LookupTables!$B$3:$D$172,2,0))</f>
        <v/>
      </c>
      <c r="F49" s="82"/>
      <c r="G49" s="480" t="str">
        <f t="shared" si="0"/>
        <v/>
      </c>
      <c r="H49" s="82"/>
      <c r="I49" s="82"/>
      <c r="J49" s="75"/>
      <c r="K49"/>
      <c r="L49" s="78"/>
      <c r="P49" s="411"/>
      <c r="Q49" s="411"/>
      <c r="W49" s="78"/>
    </row>
    <row r="50" spans="1:23" x14ac:dyDescent="0.25">
      <c r="A50" s="1">
        <v>19</v>
      </c>
      <c r="B50" s="60"/>
      <c r="C50" s="75"/>
      <c r="D50" s="82"/>
      <c r="E50" s="480" t="str">
        <f>IF($D50="","",VLOOKUP($D50,LookupTables!$B$3:$D$172,2,0))</f>
        <v/>
      </c>
      <c r="F50" s="82"/>
      <c r="G50" s="480" t="str">
        <f t="shared" si="0"/>
        <v/>
      </c>
      <c r="H50" s="82"/>
      <c r="I50" s="82"/>
      <c r="J50" s="75"/>
      <c r="K50"/>
      <c r="L50" s="78"/>
      <c r="P50" s="411"/>
      <c r="W50" s="78"/>
    </row>
    <row r="51" spans="1:23" x14ac:dyDescent="0.25">
      <c r="A51" s="1">
        <v>20</v>
      </c>
      <c r="B51" s="60"/>
      <c r="C51" s="75"/>
      <c r="D51" s="82"/>
      <c r="E51" s="480" t="str">
        <f>IF($D51="","",VLOOKUP($D51,LookupTables!$B$3:$D$172,2,0))</f>
        <v/>
      </c>
      <c r="F51" s="82"/>
      <c r="G51" s="480" t="str">
        <f t="shared" si="0"/>
        <v/>
      </c>
      <c r="H51" s="82"/>
      <c r="I51" s="82"/>
      <c r="J51" s="75"/>
      <c r="K51"/>
      <c r="L51" s="78"/>
      <c r="P51" s="411"/>
      <c r="W51" s="78"/>
    </row>
    <row r="52" spans="1:23" x14ac:dyDescent="0.25">
      <c r="A52" s="1">
        <v>21</v>
      </c>
      <c r="B52" s="60"/>
      <c r="C52" s="75"/>
      <c r="D52" s="82"/>
      <c r="E52" s="480" t="str">
        <f>IF($D52="","",VLOOKUP($D52,LookupTables!$B$3:$D$172,2,0))</f>
        <v/>
      </c>
      <c r="F52" s="82"/>
      <c r="G52" s="480" t="str">
        <f t="shared" si="0"/>
        <v/>
      </c>
      <c r="H52" s="82"/>
      <c r="I52" s="82"/>
      <c r="J52" s="75"/>
      <c r="K52"/>
      <c r="L52" s="78"/>
      <c r="P52" s="411"/>
      <c r="W52" s="78"/>
    </row>
    <row r="53" spans="1:23" x14ac:dyDescent="0.25">
      <c r="A53" s="1">
        <v>22</v>
      </c>
      <c r="B53" s="60"/>
      <c r="C53" s="75"/>
      <c r="D53" s="82"/>
      <c r="E53" s="480" t="str">
        <f>IF($D53="","",VLOOKUP($D53,LookupTables!$B$3:$D$172,2,0))</f>
        <v/>
      </c>
      <c r="F53" s="82"/>
      <c r="G53" s="480" t="str">
        <f t="shared" si="0"/>
        <v/>
      </c>
      <c r="H53" s="82"/>
      <c r="I53" s="82"/>
      <c r="J53" s="75"/>
      <c r="K53"/>
      <c r="L53" s="78"/>
      <c r="P53" s="411"/>
      <c r="W53" s="78"/>
    </row>
    <row r="54" spans="1:23" x14ac:dyDescent="0.25">
      <c r="A54" s="1">
        <v>23</v>
      </c>
      <c r="B54" s="60"/>
      <c r="C54" s="75"/>
      <c r="D54" s="82"/>
      <c r="E54" s="480" t="str">
        <f>IF($D54="","",VLOOKUP($D54,LookupTables!$B$3:$D$172,2,0))</f>
        <v/>
      </c>
      <c r="F54" s="82"/>
      <c r="G54" s="480" t="str">
        <f t="shared" si="0"/>
        <v/>
      </c>
      <c r="H54" s="82"/>
      <c r="I54" s="82"/>
      <c r="J54" s="75"/>
      <c r="K54"/>
      <c r="L54" s="78"/>
      <c r="P54" s="411"/>
      <c r="W54" s="78"/>
    </row>
    <row r="55" spans="1:23" x14ac:dyDescent="0.25">
      <c r="A55" s="1">
        <v>24</v>
      </c>
      <c r="B55" s="60"/>
      <c r="C55" s="75"/>
      <c r="D55" s="82"/>
      <c r="E55" s="480" t="str">
        <f>IF($D55="","",VLOOKUP($D55,LookupTables!$B$3:$D$172,2,0))</f>
        <v/>
      </c>
      <c r="F55" s="82"/>
      <c r="G55" s="480" t="str">
        <f t="shared" si="0"/>
        <v/>
      </c>
      <c r="H55" s="82"/>
      <c r="I55" s="82"/>
      <c r="J55" s="75"/>
      <c r="K55"/>
      <c r="L55" s="78"/>
      <c r="P55" s="411"/>
      <c r="W55" s="78"/>
    </row>
    <row r="56" spans="1:23" x14ac:dyDescent="0.25">
      <c r="A56" s="1">
        <v>25</v>
      </c>
      <c r="B56" s="60"/>
      <c r="C56" s="75"/>
      <c r="D56" s="82"/>
      <c r="E56" s="480" t="str">
        <f>IF($D56="","",VLOOKUP($D56,LookupTables!$B$3:$D$172,2,0))</f>
        <v/>
      </c>
      <c r="F56" s="82"/>
      <c r="G56" s="480" t="str">
        <f t="shared" si="0"/>
        <v/>
      </c>
      <c r="H56" s="82"/>
      <c r="I56" s="82"/>
      <c r="J56" s="75"/>
      <c r="K56"/>
      <c r="L56" s="78"/>
      <c r="P56" s="411"/>
      <c r="W56" s="78"/>
    </row>
    <row r="57" spans="1:23" x14ac:dyDescent="0.25">
      <c r="A57" s="1">
        <v>26</v>
      </c>
      <c r="B57" s="60"/>
      <c r="C57" s="75"/>
      <c r="D57" s="82"/>
      <c r="E57" s="480" t="str">
        <f>IF($D57="","",VLOOKUP($D57,LookupTables!$B$3:$D$172,2,0))</f>
        <v/>
      </c>
      <c r="F57" s="82"/>
      <c r="G57" s="480" t="str">
        <f t="shared" si="0"/>
        <v/>
      </c>
      <c r="H57" s="82"/>
      <c r="I57" s="82"/>
      <c r="J57" s="75"/>
      <c r="K57"/>
      <c r="L57" s="78"/>
      <c r="P57" s="411"/>
      <c r="W57" s="78"/>
    </row>
    <row r="58" spans="1:23" x14ac:dyDescent="0.25">
      <c r="A58" s="1">
        <v>27</v>
      </c>
      <c r="B58" s="60"/>
      <c r="C58" s="75"/>
      <c r="D58" s="82"/>
      <c r="E58" s="480" t="str">
        <f>IF($D58="","",VLOOKUP($D58,LookupTables!$B$3:$D$172,2,0))</f>
        <v/>
      </c>
      <c r="F58" s="82"/>
      <c r="G58" s="480" t="str">
        <f t="shared" si="0"/>
        <v/>
      </c>
      <c r="H58" s="82"/>
      <c r="I58" s="82"/>
      <c r="J58" s="75"/>
      <c r="K58"/>
      <c r="L58" s="78"/>
      <c r="P58" s="411"/>
      <c r="W58" s="78"/>
    </row>
    <row r="59" spans="1:23" x14ac:dyDescent="0.25">
      <c r="A59" s="1">
        <v>28</v>
      </c>
      <c r="B59" s="60"/>
      <c r="C59" s="75"/>
      <c r="D59" s="82"/>
      <c r="E59" s="480" t="str">
        <f>IF($D59="","",VLOOKUP($D59,LookupTables!$B$3:$D$172,2,0))</f>
        <v/>
      </c>
      <c r="F59" s="82"/>
      <c r="G59" s="480" t="str">
        <f t="shared" si="0"/>
        <v/>
      </c>
      <c r="H59" s="82"/>
      <c r="I59" s="82"/>
      <c r="J59" s="75"/>
      <c r="K59"/>
      <c r="L59" s="78"/>
      <c r="P59" s="411"/>
      <c r="Q59" s="411"/>
      <c r="W59" s="78"/>
    </row>
    <row r="60" spans="1:23" x14ac:dyDescent="0.25">
      <c r="A60" s="1">
        <v>29</v>
      </c>
      <c r="B60" s="60"/>
      <c r="C60" s="75"/>
      <c r="D60" s="82"/>
      <c r="E60" s="480" t="str">
        <f>IF($D60="","",VLOOKUP($D60,LookupTables!$B$3:$D$172,2,0))</f>
        <v/>
      </c>
      <c r="F60" s="82"/>
      <c r="G60" s="480" t="str">
        <f t="shared" si="0"/>
        <v/>
      </c>
      <c r="H60" s="82"/>
      <c r="I60" s="82"/>
      <c r="J60" s="75"/>
      <c r="K60"/>
      <c r="L60" s="78"/>
      <c r="P60" s="411"/>
      <c r="Q60" s="411"/>
      <c r="W60" s="78"/>
    </row>
    <row r="61" spans="1:23" x14ac:dyDescent="0.25">
      <c r="A61" s="1">
        <v>30</v>
      </c>
      <c r="B61" s="60"/>
      <c r="C61" s="75"/>
      <c r="D61" s="82"/>
      <c r="E61" s="480" t="str">
        <f>IF($D61="","",VLOOKUP($D61,LookupTables!$B$3:$D$172,2,0))</f>
        <v/>
      </c>
      <c r="F61" s="82"/>
      <c r="G61" s="480" t="str">
        <f t="shared" si="0"/>
        <v/>
      </c>
      <c r="H61" s="82"/>
      <c r="I61" s="82"/>
      <c r="J61" s="75"/>
      <c r="K61"/>
      <c r="L61" s="78"/>
      <c r="P61" s="411"/>
      <c r="Q61" s="411"/>
      <c r="W61" s="78"/>
    </row>
    <row r="62" spans="1:23" x14ac:dyDescent="0.25">
      <c r="A62" s="1">
        <v>31</v>
      </c>
      <c r="B62" s="60"/>
      <c r="C62" s="75"/>
      <c r="D62" s="82"/>
      <c r="E62" s="480" t="str">
        <f>IF($D62="","",VLOOKUP($D62,LookupTables!$B$3:$D$172,2,0))</f>
        <v/>
      </c>
      <c r="F62" s="82"/>
      <c r="G62" s="480" t="str">
        <f t="shared" si="0"/>
        <v/>
      </c>
      <c r="H62" s="82"/>
      <c r="I62" s="82"/>
      <c r="J62" s="75"/>
      <c r="K62"/>
      <c r="L62" s="78"/>
      <c r="P62" s="411"/>
      <c r="W62" s="78"/>
    </row>
    <row r="63" spans="1:23" x14ac:dyDescent="0.25">
      <c r="A63" s="1">
        <v>32</v>
      </c>
      <c r="B63" s="60"/>
      <c r="C63" s="75"/>
      <c r="D63" s="82"/>
      <c r="E63" s="480" t="str">
        <f>IF($D63="","",VLOOKUP($D63,LookupTables!$B$3:$D$172,2,0))</f>
        <v/>
      </c>
      <c r="F63" s="82"/>
      <c r="G63" s="480" t="str">
        <f t="shared" si="0"/>
        <v/>
      </c>
      <c r="H63" s="82"/>
      <c r="I63" s="82"/>
      <c r="J63" s="75"/>
      <c r="K63"/>
      <c r="L63" s="78"/>
      <c r="P63" s="411"/>
      <c r="Q63" s="411"/>
      <c r="W63" s="78"/>
    </row>
    <row r="64" spans="1:23" x14ac:dyDescent="0.25">
      <c r="A64" s="1">
        <v>33</v>
      </c>
      <c r="B64" s="60"/>
      <c r="C64" s="75"/>
      <c r="D64" s="82"/>
      <c r="E64" s="480" t="str">
        <f>IF($D64="","",VLOOKUP($D64,LookupTables!$B$3:$D$172,2,0))</f>
        <v/>
      </c>
      <c r="F64" s="82"/>
      <c r="G64" s="480" t="str">
        <f t="shared" si="0"/>
        <v/>
      </c>
      <c r="H64" s="82"/>
      <c r="I64" s="82"/>
      <c r="J64" s="75"/>
      <c r="K64"/>
      <c r="L64" s="78"/>
      <c r="P64" s="411"/>
      <c r="Q64" s="411"/>
      <c r="W64" s="78"/>
    </row>
    <row r="65" spans="1:23" x14ac:dyDescent="0.25">
      <c r="A65" s="1">
        <v>34</v>
      </c>
      <c r="B65" s="60"/>
      <c r="C65" s="75"/>
      <c r="D65" s="82"/>
      <c r="E65" s="480" t="str">
        <f>IF($D65="","",VLOOKUP($D65,LookupTables!$B$3:$D$172,2,0))</f>
        <v/>
      </c>
      <c r="F65" s="82"/>
      <c r="G65" s="480" t="str">
        <f t="shared" si="0"/>
        <v/>
      </c>
      <c r="H65" s="82"/>
      <c r="I65" s="82"/>
      <c r="J65" s="75"/>
      <c r="K65"/>
      <c r="L65" s="78"/>
      <c r="P65" s="411"/>
      <c r="Q65" s="411"/>
      <c r="W65" s="78"/>
    </row>
    <row r="66" spans="1:23" x14ac:dyDescent="0.25">
      <c r="A66" s="1">
        <v>35</v>
      </c>
      <c r="B66" s="60"/>
      <c r="C66" s="75"/>
      <c r="D66" s="82"/>
      <c r="E66" s="480" t="str">
        <f>IF($D66="","",VLOOKUP($D66,LookupTables!$B$3:$D$172,2,0))</f>
        <v/>
      </c>
      <c r="F66" s="82"/>
      <c r="G66" s="480" t="str">
        <f t="shared" si="0"/>
        <v/>
      </c>
      <c r="H66" s="82"/>
      <c r="I66" s="82"/>
      <c r="J66" s="75"/>
      <c r="K66"/>
      <c r="L66" s="78"/>
      <c r="P66" s="411"/>
      <c r="Q66" s="411"/>
      <c r="W66" s="78"/>
    </row>
    <row r="67" spans="1:23" x14ac:dyDescent="0.25">
      <c r="A67" s="1">
        <v>36</v>
      </c>
      <c r="B67" s="60"/>
      <c r="C67" s="75"/>
      <c r="D67" s="82"/>
      <c r="E67" s="480" t="str">
        <f>IF($D67="","",VLOOKUP($D67,LookupTables!$B$3:$D$172,2,0))</f>
        <v/>
      </c>
      <c r="F67" s="82"/>
      <c r="G67" s="480" t="str">
        <f t="shared" si="0"/>
        <v/>
      </c>
      <c r="H67" s="82"/>
      <c r="I67" s="82"/>
      <c r="J67" s="75"/>
      <c r="K67"/>
      <c r="L67" s="78"/>
      <c r="P67" s="411"/>
      <c r="Q67" s="411"/>
      <c r="W67" s="78"/>
    </row>
    <row r="68" spans="1:23" x14ac:dyDescent="0.25">
      <c r="A68" s="1">
        <v>37</v>
      </c>
      <c r="B68" s="60"/>
      <c r="C68" s="75"/>
      <c r="D68" s="82"/>
      <c r="E68" s="480" t="str">
        <f>IF($D68="","",VLOOKUP($D68,LookupTables!$B$3:$D$172,2,0))</f>
        <v/>
      </c>
      <c r="F68" s="82"/>
      <c r="G68" s="480" t="str">
        <f t="shared" si="0"/>
        <v/>
      </c>
      <c r="H68" s="82"/>
      <c r="I68" s="82"/>
      <c r="J68" s="75"/>
      <c r="K68"/>
      <c r="L68" s="78"/>
      <c r="P68" s="411"/>
      <c r="Q68" s="411"/>
      <c r="W68" s="78"/>
    </row>
    <row r="69" spans="1:23" x14ac:dyDescent="0.25">
      <c r="A69" s="1">
        <v>38</v>
      </c>
      <c r="B69" s="60"/>
      <c r="C69" s="75"/>
      <c r="D69" s="82"/>
      <c r="E69" s="480" t="str">
        <f>IF($D69="","",VLOOKUP($D69,LookupTables!$B$3:$D$172,2,0))</f>
        <v/>
      </c>
      <c r="F69" s="82"/>
      <c r="G69" s="480" t="str">
        <f t="shared" si="0"/>
        <v/>
      </c>
      <c r="H69" s="82"/>
      <c r="I69" s="82"/>
      <c r="J69" s="75"/>
      <c r="K69"/>
      <c r="L69" s="78"/>
      <c r="P69" s="411"/>
      <c r="W69" s="78"/>
    </row>
    <row r="70" spans="1:23" x14ac:dyDescent="0.25">
      <c r="A70" s="1">
        <v>39</v>
      </c>
      <c r="B70" s="60"/>
      <c r="C70" s="75"/>
      <c r="D70" s="82"/>
      <c r="E70" s="480" t="str">
        <f>IF($D70="","",VLOOKUP($D70,LookupTables!$B$3:$D$172,2,0))</f>
        <v/>
      </c>
      <c r="F70" s="82"/>
      <c r="G70" s="480" t="str">
        <f t="shared" si="0"/>
        <v/>
      </c>
      <c r="H70" s="82"/>
      <c r="I70" s="82"/>
      <c r="J70" s="75"/>
      <c r="K70"/>
      <c r="L70" s="78"/>
      <c r="P70" s="411"/>
      <c r="W70" s="78"/>
    </row>
    <row r="71" spans="1:23" x14ac:dyDescent="0.25">
      <c r="A71" s="1">
        <v>40</v>
      </c>
      <c r="B71" s="60"/>
      <c r="C71" s="75"/>
      <c r="D71" s="82"/>
      <c r="E71" s="480" t="str">
        <f>IF($D71="","",VLOOKUP($D71,LookupTables!$B$3:$D$172,2,0))</f>
        <v/>
      </c>
      <c r="F71" s="82"/>
      <c r="G71" s="480" t="str">
        <f t="shared" si="0"/>
        <v/>
      </c>
      <c r="H71" s="82"/>
      <c r="I71" s="82"/>
      <c r="J71" s="75"/>
      <c r="K71"/>
      <c r="L71" s="78"/>
      <c r="P71" s="411"/>
      <c r="W71" s="78"/>
    </row>
    <row r="72" spans="1:23" x14ac:dyDescent="0.25">
      <c r="A72" s="1">
        <v>41</v>
      </c>
      <c r="B72" s="60"/>
      <c r="C72" s="75"/>
      <c r="D72" s="82"/>
      <c r="E72" s="480" t="str">
        <f>IF($D72="","",VLOOKUP($D72,LookupTables!$B$3:$D$172,2,0))</f>
        <v/>
      </c>
      <c r="F72" s="82"/>
      <c r="G72" s="480" t="str">
        <f t="shared" si="0"/>
        <v/>
      </c>
      <c r="H72" s="82"/>
      <c r="I72" s="82"/>
      <c r="J72" s="75"/>
      <c r="K72"/>
      <c r="L72" s="78"/>
      <c r="P72" s="411"/>
      <c r="W72" s="78"/>
    </row>
    <row r="73" spans="1:23" x14ac:dyDescent="0.25">
      <c r="A73" s="1">
        <v>42</v>
      </c>
      <c r="B73" s="60"/>
      <c r="C73" s="75"/>
      <c r="D73" s="82"/>
      <c r="E73" s="480" t="str">
        <f>IF($D73="","",VLOOKUP($D73,LookupTables!$B$3:$D$172,2,0))</f>
        <v/>
      </c>
      <c r="F73" s="82"/>
      <c r="G73" s="480" t="str">
        <f t="shared" si="0"/>
        <v/>
      </c>
      <c r="H73" s="82"/>
      <c r="I73" s="82"/>
      <c r="J73" s="75"/>
      <c r="K73"/>
      <c r="L73" s="78"/>
      <c r="P73" s="411"/>
      <c r="W73" s="78"/>
    </row>
    <row r="74" spans="1:23" x14ac:dyDescent="0.25">
      <c r="A74" s="1">
        <v>43</v>
      </c>
      <c r="B74" s="60"/>
      <c r="C74" s="75"/>
      <c r="D74" s="82"/>
      <c r="E74" s="480" t="str">
        <f>IF($D74="","",VLOOKUP($D74,LookupTables!$B$3:$D$172,2,0))</f>
        <v/>
      </c>
      <c r="F74" s="82"/>
      <c r="G74" s="480" t="str">
        <f t="shared" si="0"/>
        <v/>
      </c>
      <c r="H74" s="82"/>
      <c r="I74" s="82"/>
      <c r="J74" s="75"/>
      <c r="K74"/>
      <c r="L74" s="78"/>
      <c r="P74" s="411"/>
      <c r="W74" s="78"/>
    </row>
    <row r="75" spans="1:23" x14ac:dyDescent="0.25">
      <c r="A75" s="1">
        <v>44</v>
      </c>
      <c r="B75" s="60"/>
      <c r="C75" s="75"/>
      <c r="D75" s="82"/>
      <c r="E75" s="480" t="str">
        <f>IF($D75="","",VLOOKUP($D75,LookupTables!$B$3:$D$172,2,0))</f>
        <v/>
      </c>
      <c r="F75" s="82"/>
      <c r="G75" s="480" t="str">
        <f t="shared" si="0"/>
        <v/>
      </c>
      <c r="H75" s="82"/>
      <c r="I75" s="82"/>
      <c r="J75" s="75"/>
      <c r="K75"/>
      <c r="L75" s="78"/>
      <c r="P75" s="411"/>
      <c r="W75" s="78"/>
    </row>
    <row r="76" spans="1:23" x14ac:dyDescent="0.25">
      <c r="A76" s="1">
        <v>45</v>
      </c>
      <c r="B76" s="60"/>
      <c r="C76" s="75"/>
      <c r="D76" s="82"/>
      <c r="E76" s="480" t="str">
        <f>IF($D76="","",VLOOKUP($D76,LookupTables!$B$3:$D$172,2,0))</f>
        <v/>
      </c>
      <c r="F76" s="82"/>
      <c r="G76" s="480" t="str">
        <f t="shared" si="0"/>
        <v/>
      </c>
      <c r="H76" s="82"/>
      <c r="I76" s="82"/>
      <c r="J76" s="75"/>
      <c r="K76"/>
      <c r="L76" s="78"/>
      <c r="P76" s="411"/>
      <c r="W76" s="78"/>
    </row>
    <row r="77" spans="1:23" x14ac:dyDescent="0.25">
      <c r="A77" s="1">
        <v>46</v>
      </c>
      <c r="B77" s="60"/>
      <c r="C77" s="75"/>
      <c r="D77" s="82"/>
      <c r="E77" s="480" t="str">
        <f>IF($D77="","",VLOOKUP($D77,LookupTables!$B$3:$D$172,2,0))</f>
        <v/>
      </c>
      <c r="F77" s="82"/>
      <c r="G77" s="480" t="str">
        <f t="shared" si="0"/>
        <v/>
      </c>
      <c r="H77" s="82"/>
      <c r="I77" s="82"/>
      <c r="J77" s="75"/>
      <c r="K77"/>
      <c r="L77" s="78"/>
      <c r="P77" s="411"/>
      <c r="W77" s="78"/>
    </row>
    <row r="78" spans="1:23" x14ac:dyDescent="0.25">
      <c r="A78" s="1">
        <v>47</v>
      </c>
      <c r="B78" s="60"/>
      <c r="C78" s="75"/>
      <c r="D78" s="82"/>
      <c r="E78" s="480" t="str">
        <f>IF($D78="","",VLOOKUP($D78,LookupTables!$B$3:$D$172,2,0))</f>
        <v/>
      </c>
      <c r="F78" s="82"/>
      <c r="G78" s="480" t="str">
        <f t="shared" si="0"/>
        <v/>
      </c>
      <c r="H78" s="82"/>
      <c r="I78" s="82"/>
      <c r="J78" s="75"/>
      <c r="K78"/>
      <c r="L78" s="78"/>
      <c r="P78" s="411"/>
      <c r="W78" s="78"/>
    </row>
    <row r="79" spans="1:23" x14ac:dyDescent="0.25">
      <c r="A79" s="1">
        <v>48</v>
      </c>
      <c r="B79" s="60"/>
      <c r="C79" s="75"/>
      <c r="D79" s="82"/>
      <c r="E79" s="480" t="str">
        <f>IF($D79="","",VLOOKUP($D79,LookupTables!$B$3:$D$172,2,0))</f>
        <v/>
      </c>
      <c r="F79" s="82"/>
      <c r="G79" s="480" t="str">
        <f t="shared" si="0"/>
        <v/>
      </c>
      <c r="H79" s="82"/>
      <c r="I79" s="82"/>
      <c r="J79" s="75"/>
      <c r="K79"/>
      <c r="L79" s="78"/>
      <c r="P79" s="411"/>
      <c r="W79" s="78"/>
    </row>
    <row r="80" spans="1:23" x14ac:dyDescent="0.25">
      <c r="A80" s="1">
        <v>49</v>
      </c>
      <c r="B80" s="60"/>
      <c r="C80" s="75"/>
      <c r="D80" s="82"/>
      <c r="E80" s="480" t="str">
        <f>IF($D80="","",VLOOKUP($D80,LookupTables!$B$3:$D$172,2,0))</f>
        <v/>
      </c>
      <c r="F80" s="82"/>
      <c r="G80" s="480" t="str">
        <f t="shared" si="0"/>
        <v/>
      </c>
      <c r="H80" s="82"/>
      <c r="I80" s="82"/>
      <c r="J80" s="75"/>
      <c r="K80"/>
      <c r="L80" s="78"/>
      <c r="P80" s="411"/>
      <c r="W80" s="78"/>
    </row>
    <row r="81" spans="1:23" x14ac:dyDescent="0.25">
      <c r="A81" s="1">
        <v>50</v>
      </c>
      <c r="B81" s="60"/>
      <c r="C81" s="75"/>
      <c r="D81" s="82"/>
      <c r="E81" s="480" t="str">
        <f>IF($D81="","",VLOOKUP($D81,LookupTables!$B$3:$D$172,2,0))</f>
        <v/>
      </c>
      <c r="F81" s="82"/>
      <c r="G81" s="480" t="str">
        <f t="shared" si="0"/>
        <v/>
      </c>
      <c r="H81" s="82"/>
      <c r="I81" s="82"/>
      <c r="J81" s="75"/>
      <c r="K81"/>
      <c r="L81" s="78"/>
      <c r="P81" s="411"/>
      <c r="W81" s="78"/>
    </row>
    <row r="82" spans="1:23" x14ac:dyDescent="0.25">
      <c r="A82" s="1">
        <v>51</v>
      </c>
      <c r="B82" s="60"/>
      <c r="C82" s="75"/>
      <c r="D82" s="82"/>
      <c r="E82" s="480" t="str">
        <f>IF($D82="","",VLOOKUP($D82,LookupTables!$B$3:$D$172,2,0))</f>
        <v/>
      </c>
      <c r="F82" s="82"/>
      <c r="G82" s="480" t="str">
        <f t="shared" si="0"/>
        <v/>
      </c>
      <c r="H82" s="82"/>
      <c r="I82" s="82"/>
      <c r="J82" s="75"/>
      <c r="K82"/>
      <c r="L82" s="78"/>
      <c r="P82" s="411"/>
      <c r="W82" s="78"/>
    </row>
    <row r="83" spans="1:23" x14ac:dyDescent="0.25">
      <c r="A83" s="1">
        <v>52</v>
      </c>
      <c r="B83" s="60"/>
      <c r="C83" s="75"/>
      <c r="D83" s="82"/>
      <c r="E83" s="480" t="str">
        <f>IF($D83="","",VLOOKUP($D83,LookupTables!$B$3:$D$172,2,0))</f>
        <v/>
      </c>
      <c r="F83" s="82"/>
      <c r="G83" s="480" t="str">
        <f t="shared" si="0"/>
        <v/>
      </c>
      <c r="H83" s="82"/>
      <c r="I83" s="82"/>
      <c r="J83" s="75"/>
      <c r="K83"/>
      <c r="L83" s="78"/>
      <c r="N83" s="388"/>
      <c r="P83" s="411"/>
      <c r="W83" s="78"/>
    </row>
    <row r="84" spans="1:23" ht="15.75" x14ac:dyDescent="0.25">
      <c r="A84" s="1">
        <v>53</v>
      </c>
      <c r="B84" s="60"/>
      <c r="C84" s="75"/>
      <c r="D84" s="82"/>
      <c r="E84" s="480" t="str">
        <f>IF($D84="","",VLOOKUP($D84,LookupTables!$B$3:$D$172,2,0))</f>
        <v/>
      </c>
      <c r="F84" s="82"/>
      <c r="G84" s="480" t="str">
        <f t="shared" si="0"/>
        <v/>
      </c>
      <c r="H84" s="82"/>
      <c r="I84" s="82"/>
      <c r="J84" s="75"/>
      <c r="K84"/>
      <c r="L84" s="78"/>
      <c r="M84" s="414"/>
      <c r="P84" s="411"/>
      <c r="W84" s="78"/>
    </row>
    <row r="85" spans="1:23" x14ac:dyDescent="0.25">
      <c r="A85" s="1">
        <v>54</v>
      </c>
      <c r="B85" s="60"/>
      <c r="C85" s="75"/>
      <c r="D85" s="82"/>
      <c r="E85" s="480" t="str">
        <f>IF($D85="","",VLOOKUP($D85,LookupTables!$B$3:$D$172,2,0))</f>
        <v/>
      </c>
      <c r="F85" s="82"/>
      <c r="G85" s="480" t="str">
        <f t="shared" si="0"/>
        <v/>
      </c>
      <c r="H85" s="82"/>
      <c r="I85" s="82"/>
      <c r="J85" s="75"/>
      <c r="K85"/>
      <c r="L85" s="78"/>
      <c r="P85" s="411"/>
      <c r="Q85" s="388"/>
      <c r="W85" s="78"/>
    </row>
    <row r="86" spans="1:23" x14ac:dyDescent="0.25">
      <c r="A86" s="1">
        <v>55</v>
      </c>
      <c r="B86" s="60"/>
      <c r="C86" s="75"/>
      <c r="D86" s="82"/>
      <c r="E86" s="480" t="str">
        <f>IF($D86="","",VLOOKUP($D86,LookupTables!$B$3:$D$172,2,0))</f>
        <v/>
      </c>
      <c r="F86" s="82"/>
      <c r="G86" s="480" t="str">
        <f t="shared" si="0"/>
        <v/>
      </c>
      <c r="H86" s="82"/>
      <c r="I86" s="82"/>
      <c r="J86" s="75"/>
      <c r="K86"/>
      <c r="L86" s="78"/>
      <c r="P86" s="411"/>
      <c r="W86" s="78"/>
    </row>
    <row r="87" spans="1:23" x14ac:dyDescent="0.25">
      <c r="A87" s="1">
        <v>56</v>
      </c>
      <c r="B87" s="60"/>
      <c r="C87" s="75"/>
      <c r="D87" s="82"/>
      <c r="E87" s="480" t="str">
        <f>IF($D87="","",VLOOKUP($D87,LookupTables!$B$3:$D$172,2,0))</f>
        <v/>
      </c>
      <c r="F87" s="82"/>
      <c r="G87" s="480" t="str">
        <f t="shared" si="0"/>
        <v/>
      </c>
      <c r="H87" s="82"/>
      <c r="I87" s="82"/>
      <c r="J87" s="75"/>
      <c r="K87"/>
      <c r="L87" s="78"/>
      <c r="P87" s="411"/>
      <c r="Q87" s="415"/>
      <c r="R87" s="415"/>
      <c r="S87" s="415"/>
      <c r="T87" s="415"/>
      <c r="U87" s="411"/>
      <c r="V87" s="416"/>
      <c r="W87" s="81"/>
    </row>
    <row r="88" spans="1:23" x14ac:dyDescent="0.25">
      <c r="A88" s="1">
        <v>57</v>
      </c>
      <c r="B88" s="60"/>
      <c r="C88" s="75"/>
      <c r="D88" s="82"/>
      <c r="E88" s="480" t="str">
        <f>IF($D88="","",VLOOKUP($D88,LookupTables!$B$3:$D$172,2,0))</f>
        <v/>
      </c>
      <c r="F88" s="82"/>
      <c r="G88" s="480" t="str">
        <f t="shared" si="0"/>
        <v/>
      </c>
      <c r="H88" s="82"/>
      <c r="I88" s="82"/>
      <c r="J88" s="75"/>
      <c r="K88"/>
      <c r="L88" s="78"/>
      <c r="P88" s="411"/>
      <c r="R88" s="411"/>
      <c r="U88" s="411"/>
      <c r="V88" s="416"/>
      <c r="W88" s="78"/>
    </row>
    <row r="89" spans="1:23" x14ac:dyDescent="0.25">
      <c r="A89" s="1">
        <v>58</v>
      </c>
      <c r="B89" s="60"/>
      <c r="C89" s="75"/>
      <c r="D89" s="82"/>
      <c r="E89" s="480" t="str">
        <f>IF($D89="","",VLOOKUP($D89,LookupTables!$B$3:$D$172,2,0))</f>
        <v/>
      </c>
      <c r="F89" s="82"/>
      <c r="G89" s="480" t="str">
        <f t="shared" si="0"/>
        <v/>
      </c>
      <c r="H89" s="82"/>
      <c r="I89" s="82"/>
      <c r="J89" s="75"/>
      <c r="K89"/>
      <c r="L89" s="78"/>
      <c r="P89" s="411"/>
      <c r="R89" s="411"/>
      <c r="V89" s="416"/>
      <c r="W89" s="78"/>
    </row>
    <row r="90" spans="1:23" x14ac:dyDescent="0.25">
      <c r="A90" s="1">
        <v>59</v>
      </c>
      <c r="B90" s="60"/>
      <c r="C90" s="75"/>
      <c r="D90" s="82"/>
      <c r="E90" s="480" t="str">
        <f>IF($D90="","",VLOOKUP($D90,LookupTables!$B$3:$D$172,2,0))</f>
        <v/>
      </c>
      <c r="F90" s="82"/>
      <c r="G90" s="480" t="str">
        <f t="shared" si="0"/>
        <v/>
      </c>
      <c r="H90" s="82"/>
      <c r="I90" s="82"/>
      <c r="J90" s="75"/>
      <c r="K90"/>
      <c r="L90" s="78"/>
      <c r="P90" s="411"/>
      <c r="R90" s="411"/>
      <c r="V90" s="416"/>
      <c r="W90" s="78"/>
    </row>
    <row r="91" spans="1:23" x14ac:dyDescent="0.25">
      <c r="A91" s="1">
        <v>60</v>
      </c>
      <c r="B91" s="60"/>
      <c r="C91" s="75"/>
      <c r="D91" s="82"/>
      <c r="E91" s="480" t="str">
        <f>IF($D91="","",VLOOKUP($D91,LookupTables!$B$3:$D$172,2,0))</f>
        <v/>
      </c>
      <c r="F91" s="82"/>
      <c r="G91" s="480" t="str">
        <f t="shared" si="0"/>
        <v/>
      </c>
      <c r="H91" s="82"/>
      <c r="I91" s="82"/>
      <c r="J91" s="75"/>
      <c r="K91"/>
      <c r="L91" s="78"/>
      <c r="P91" s="411"/>
      <c r="R91" s="411"/>
      <c r="V91" s="416"/>
      <c r="W91" s="78"/>
    </row>
    <row r="92" spans="1:23" x14ac:dyDescent="0.25">
      <c r="A92" s="1">
        <v>61</v>
      </c>
      <c r="B92" s="60"/>
      <c r="C92" s="75"/>
      <c r="D92" s="82"/>
      <c r="E92" s="480" t="str">
        <f>IF($D92="","",VLOOKUP($D92,LookupTables!$B$3:$D$172,2,0))</f>
        <v/>
      </c>
      <c r="F92" s="82"/>
      <c r="G92" s="480" t="str">
        <f t="shared" si="0"/>
        <v/>
      </c>
      <c r="H92" s="82"/>
      <c r="I92" s="82"/>
      <c r="J92" s="75"/>
      <c r="K92"/>
      <c r="L92" s="78"/>
      <c r="P92" s="411"/>
      <c r="R92" s="411"/>
      <c r="W92" s="78"/>
    </row>
    <row r="93" spans="1:23" x14ac:dyDescent="0.25">
      <c r="A93" s="1">
        <v>62</v>
      </c>
      <c r="B93" s="60"/>
      <c r="C93" s="75"/>
      <c r="D93" s="82"/>
      <c r="E93" s="480" t="str">
        <f>IF($D93="","",VLOOKUP($D93,LookupTables!$B$3:$D$172,2,0))</f>
        <v/>
      </c>
      <c r="F93" s="82"/>
      <c r="G93" s="480" t="str">
        <f t="shared" si="0"/>
        <v/>
      </c>
      <c r="H93" s="82"/>
      <c r="I93" s="82"/>
      <c r="J93" s="75"/>
      <c r="K93"/>
      <c r="L93" s="78"/>
      <c r="P93" s="411"/>
      <c r="R93" s="411"/>
      <c r="S93" s="412"/>
      <c r="W93" s="78"/>
    </row>
    <row r="94" spans="1:23" x14ac:dyDescent="0.25">
      <c r="A94" s="1">
        <v>63</v>
      </c>
      <c r="B94" s="60"/>
      <c r="C94" s="75"/>
      <c r="D94" s="82"/>
      <c r="E94" s="480" t="str">
        <f>IF($D94="","",VLOOKUP($D94,LookupTables!$B$3:$D$172,2,0))</f>
        <v/>
      </c>
      <c r="F94" s="82"/>
      <c r="G94" s="480" t="str">
        <f t="shared" si="0"/>
        <v/>
      </c>
      <c r="H94" s="82"/>
      <c r="I94" s="82"/>
      <c r="J94" s="75"/>
      <c r="K94"/>
      <c r="L94" s="78"/>
      <c r="P94" s="411"/>
      <c r="R94" s="411"/>
      <c r="S94" s="412"/>
      <c r="W94" s="78"/>
    </row>
    <row r="95" spans="1:23" x14ac:dyDescent="0.25">
      <c r="A95" s="1">
        <v>64</v>
      </c>
      <c r="B95" s="60"/>
      <c r="C95" s="75"/>
      <c r="D95" s="82"/>
      <c r="E95" s="480" t="str">
        <f>IF($D95="","",VLOOKUP($D95,LookupTables!$B$3:$D$172,2,0))</f>
        <v/>
      </c>
      <c r="F95" s="82"/>
      <c r="G95" s="480" t="str">
        <f t="shared" si="0"/>
        <v/>
      </c>
      <c r="H95" s="82"/>
      <c r="I95" s="82"/>
      <c r="J95" s="75"/>
      <c r="K95"/>
      <c r="L95" s="78"/>
      <c r="P95" s="411"/>
      <c r="R95" s="411"/>
      <c r="S95" s="412"/>
      <c r="W95" s="78"/>
    </row>
    <row r="96" spans="1:23" x14ac:dyDescent="0.25">
      <c r="A96" s="1">
        <v>65</v>
      </c>
      <c r="B96" s="60"/>
      <c r="C96" s="75"/>
      <c r="D96" s="82"/>
      <c r="E96" s="480" t="str">
        <f>IF($D96="","",VLOOKUP($D96,LookupTables!$B$3:$D$172,2,0))</f>
        <v/>
      </c>
      <c r="F96" s="82"/>
      <c r="G96" s="480" t="str">
        <f t="shared" si="0"/>
        <v/>
      </c>
      <c r="H96" s="82"/>
      <c r="I96" s="82"/>
      <c r="J96" s="75"/>
      <c r="K96"/>
      <c r="L96" s="78"/>
      <c r="P96" s="411"/>
      <c r="Q96" s="417"/>
      <c r="R96" s="417"/>
      <c r="S96" s="417"/>
      <c r="T96" s="417"/>
      <c r="W96" s="78"/>
    </row>
    <row r="97" spans="1:23" x14ac:dyDescent="0.25">
      <c r="A97" s="1">
        <v>66</v>
      </c>
      <c r="B97" s="60"/>
      <c r="C97" s="75"/>
      <c r="D97" s="82"/>
      <c r="E97" s="480" t="str">
        <f>IF($D97="","",VLOOKUP($D97,LookupTables!$B$3:$D$172,2,0))</f>
        <v/>
      </c>
      <c r="F97" s="82"/>
      <c r="G97" s="480" t="str">
        <f t="shared" ref="G97:G160" si="1">IF(OR($E97="", $F97=""),"",CONCATENATE($E97,"-",LEFT($F97,1),LEFT(MID($F97,FIND(" ",$F97)+1,256),1)))</f>
        <v/>
      </c>
      <c r="H97" s="82"/>
      <c r="I97" s="82"/>
      <c r="J97" s="75"/>
      <c r="K97"/>
      <c r="L97" s="78"/>
      <c r="P97" s="411"/>
      <c r="W97" s="78"/>
    </row>
    <row r="98" spans="1:23" x14ac:dyDescent="0.25">
      <c r="A98" s="1">
        <v>67</v>
      </c>
      <c r="B98" s="60"/>
      <c r="C98" s="75"/>
      <c r="D98" s="82"/>
      <c r="E98" s="480" t="str">
        <f>IF($D98="","",VLOOKUP($D98,LookupTables!$B$3:$D$172,2,0))</f>
        <v/>
      </c>
      <c r="F98" s="82"/>
      <c r="G98" s="480" t="str">
        <f t="shared" si="1"/>
        <v/>
      </c>
      <c r="H98" s="82"/>
      <c r="I98" s="82"/>
      <c r="J98" s="75"/>
      <c r="K98"/>
      <c r="L98" s="78"/>
      <c r="P98" s="411"/>
      <c r="W98" s="78"/>
    </row>
    <row r="99" spans="1:23" x14ac:dyDescent="0.25">
      <c r="A99" s="1">
        <v>68</v>
      </c>
      <c r="B99" s="60"/>
      <c r="C99" s="75"/>
      <c r="D99" s="82"/>
      <c r="E99" s="480" t="str">
        <f>IF($D99="","",VLOOKUP($D99,LookupTables!$B$3:$D$172,2,0))</f>
        <v/>
      </c>
      <c r="F99" s="82"/>
      <c r="G99" s="480" t="str">
        <f t="shared" si="1"/>
        <v/>
      </c>
      <c r="H99" s="82"/>
      <c r="I99" s="82"/>
      <c r="J99" s="75"/>
      <c r="K99"/>
      <c r="L99" s="78"/>
      <c r="P99" s="411"/>
      <c r="W99" s="78"/>
    </row>
    <row r="100" spans="1:23" x14ac:dyDescent="0.25">
      <c r="A100" s="1">
        <v>69</v>
      </c>
      <c r="B100" s="60"/>
      <c r="C100" s="75"/>
      <c r="D100" s="82"/>
      <c r="E100" s="480" t="str">
        <f>IF($D100="","",VLOOKUP($D100,LookupTables!$B$3:$D$172,2,0))</f>
        <v/>
      </c>
      <c r="F100" s="82"/>
      <c r="G100" s="480" t="str">
        <f t="shared" si="1"/>
        <v/>
      </c>
      <c r="H100" s="82"/>
      <c r="I100" s="82"/>
      <c r="J100" s="75"/>
      <c r="K100"/>
      <c r="L100" s="78"/>
      <c r="P100" s="411"/>
      <c r="Q100" s="415"/>
      <c r="R100" s="415"/>
      <c r="S100" s="415"/>
      <c r="T100" s="415"/>
      <c r="W100" s="78"/>
    </row>
    <row r="101" spans="1:23" x14ac:dyDescent="0.25">
      <c r="A101" s="1">
        <v>70</v>
      </c>
      <c r="B101" s="60"/>
      <c r="C101" s="75"/>
      <c r="D101" s="82"/>
      <c r="E101" s="480" t="str">
        <f>IF($D101="","",VLOOKUP($D101,LookupTables!$B$3:$D$172,2,0))</f>
        <v/>
      </c>
      <c r="F101" s="82"/>
      <c r="G101" s="480" t="str">
        <f t="shared" si="1"/>
        <v/>
      </c>
      <c r="H101" s="82"/>
      <c r="I101" s="82"/>
      <c r="J101" s="75"/>
      <c r="K101"/>
      <c r="L101" s="78"/>
      <c r="P101" s="411"/>
      <c r="R101" s="411"/>
      <c r="S101" s="388"/>
      <c r="W101" s="78"/>
    </row>
    <row r="102" spans="1:23" x14ac:dyDescent="0.25">
      <c r="A102" s="1">
        <v>71</v>
      </c>
      <c r="B102" s="60"/>
      <c r="C102" s="75"/>
      <c r="D102" s="82"/>
      <c r="E102" s="480" t="str">
        <f>IF($D102="","",VLOOKUP($D102,LookupTables!$B$3:$D$172,2,0))</f>
        <v/>
      </c>
      <c r="F102" s="82"/>
      <c r="G102" s="480" t="str">
        <f t="shared" si="1"/>
        <v/>
      </c>
      <c r="H102" s="82"/>
      <c r="I102" s="82"/>
      <c r="J102" s="75"/>
      <c r="K102"/>
      <c r="L102" s="78"/>
      <c r="P102" s="411"/>
      <c r="R102" s="411"/>
      <c r="S102" s="389"/>
      <c r="W102" s="78"/>
    </row>
    <row r="103" spans="1:23" x14ac:dyDescent="0.25">
      <c r="A103" s="1">
        <v>72</v>
      </c>
      <c r="B103" s="60"/>
      <c r="C103" s="75"/>
      <c r="D103" s="82"/>
      <c r="E103" s="480" t="str">
        <f>IF($D103="","",VLOOKUP($D103,LookupTables!$B$3:$D$172,2,0))</f>
        <v/>
      </c>
      <c r="F103" s="82"/>
      <c r="G103" s="480" t="str">
        <f t="shared" si="1"/>
        <v/>
      </c>
      <c r="H103" s="82"/>
      <c r="I103" s="82"/>
      <c r="J103" s="75"/>
      <c r="K103"/>
      <c r="L103" s="78"/>
      <c r="P103" s="411"/>
      <c r="R103" s="411"/>
      <c r="S103" s="389"/>
      <c r="W103" s="78"/>
    </row>
    <row r="104" spans="1:23" x14ac:dyDescent="0.25">
      <c r="A104" s="1">
        <v>73</v>
      </c>
      <c r="B104" s="60"/>
      <c r="C104" s="75"/>
      <c r="D104" s="82"/>
      <c r="E104" s="480" t="str">
        <f>IF($D104="","",VLOOKUP($D104,LookupTables!$B$3:$D$172,2,0))</f>
        <v/>
      </c>
      <c r="F104" s="82"/>
      <c r="G104" s="480" t="str">
        <f t="shared" si="1"/>
        <v/>
      </c>
      <c r="H104" s="82"/>
      <c r="I104" s="82"/>
      <c r="J104" s="75"/>
      <c r="K104"/>
      <c r="L104" s="78"/>
      <c r="P104" s="411"/>
      <c r="R104" s="411"/>
      <c r="S104" s="389"/>
      <c r="W104" s="78"/>
    </row>
    <row r="105" spans="1:23" x14ac:dyDescent="0.25">
      <c r="A105" s="1">
        <v>74</v>
      </c>
      <c r="B105" s="60"/>
      <c r="C105" s="75"/>
      <c r="D105" s="82"/>
      <c r="E105" s="480" t="str">
        <f>IF($D105="","",VLOOKUP($D105,LookupTables!$B$3:$D$172,2,0))</f>
        <v/>
      </c>
      <c r="F105" s="82"/>
      <c r="G105" s="480" t="str">
        <f t="shared" si="1"/>
        <v/>
      </c>
      <c r="H105" s="82"/>
      <c r="I105" s="82"/>
      <c r="J105" s="75"/>
      <c r="K105"/>
      <c r="L105" s="78"/>
      <c r="P105" s="411"/>
      <c r="Q105" s="417"/>
      <c r="R105" s="417"/>
      <c r="S105" s="417"/>
      <c r="T105" s="417"/>
      <c r="W105" s="78"/>
    </row>
    <row r="106" spans="1:23" x14ac:dyDescent="0.25">
      <c r="A106" s="1">
        <v>75</v>
      </c>
      <c r="B106" s="60"/>
      <c r="C106" s="75"/>
      <c r="D106" s="82"/>
      <c r="E106" s="480" t="str">
        <f>IF($D106="","",VLOOKUP($D106,LookupTables!$B$3:$D$172,2,0))</f>
        <v/>
      </c>
      <c r="F106" s="82"/>
      <c r="G106" s="480" t="str">
        <f t="shared" si="1"/>
        <v/>
      </c>
      <c r="H106" s="82"/>
      <c r="I106" s="82"/>
      <c r="J106" s="75"/>
      <c r="K106"/>
      <c r="L106" s="78"/>
      <c r="P106" s="411"/>
      <c r="W106" s="78"/>
    </row>
    <row r="107" spans="1:23" x14ac:dyDescent="0.25">
      <c r="A107" s="1">
        <v>76</v>
      </c>
      <c r="B107" s="60"/>
      <c r="C107" s="75"/>
      <c r="D107" s="82"/>
      <c r="E107" s="480" t="str">
        <f>IF($D107="","",VLOOKUP($D107,LookupTables!$B$3:$D$172,2,0))</f>
        <v/>
      </c>
      <c r="F107" s="82"/>
      <c r="G107" s="480" t="str">
        <f t="shared" si="1"/>
        <v/>
      </c>
      <c r="H107" s="82"/>
      <c r="I107" s="82"/>
      <c r="J107" s="75"/>
      <c r="K107"/>
      <c r="L107" s="78"/>
      <c r="P107" s="411"/>
      <c r="W107" s="78"/>
    </row>
    <row r="108" spans="1:23" x14ac:dyDescent="0.25">
      <c r="A108" s="1">
        <v>77</v>
      </c>
      <c r="B108" s="60"/>
      <c r="C108" s="75"/>
      <c r="D108" s="82"/>
      <c r="E108" s="480" t="str">
        <f>IF($D108="","",VLOOKUP($D108,LookupTables!$B$3:$D$172,2,0))</f>
        <v/>
      </c>
      <c r="F108" s="82"/>
      <c r="G108" s="480" t="str">
        <f t="shared" si="1"/>
        <v/>
      </c>
      <c r="H108" s="82"/>
      <c r="I108" s="82"/>
      <c r="J108" s="75"/>
      <c r="K108"/>
      <c r="L108" s="78"/>
      <c r="P108" s="411"/>
      <c r="W108" s="78"/>
    </row>
    <row r="109" spans="1:23" x14ac:dyDescent="0.25">
      <c r="A109" s="1">
        <v>78</v>
      </c>
      <c r="B109" s="60"/>
      <c r="C109" s="75"/>
      <c r="D109" s="82"/>
      <c r="E109" s="480" t="str">
        <f>IF($D109="","",VLOOKUP($D109,LookupTables!$B$3:$D$172,2,0))</f>
        <v/>
      </c>
      <c r="F109" s="82"/>
      <c r="G109" s="480" t="str">
        <f t="shared" si="1"/>
        <v/>
      </c>
      <c r="H109" s="82"/>
      <c r="I109" s="82"/>
      <c r="J109" s="75"/>
      <c r="K109"/>
      <c r="L109" s="78"/>
      <c r="P109" s="411"/>
      <c r="W109" s="78"/>
    </row>
    <row r="110" spans="1:23" x14ac:dyDescent="0.25">
      <c r="A110" s="1">
        <v>79</v>
      </c>
      <c r="B110" s="60"/>
      <c r="C110" s="75"/>
      <c r="D110" s="82"/>
      <c r="E110" s="480" t="str">
        <f>IF($D110="","",VLOOKUP($D110,LookupTables!$B$3:$D$172,2,0))</f>
        <v/>
      </c>
      <c r="F110" s="82"/>
      <c r="G110" s="480" t="str">
        <f t="shared" si="1"/>
        <v/>
      </c>
      <c r="H110" s="82"/>
      <c r="I110" s="82"/>
      <c r="J110" s="75"/>
      <c r="K110"/>
      <c r="L110" s="78"/>
      <c r="P110" s="411"/>
      <c r="W110" s="78"/>
    </row>
    <row r="111" spans="1:23" x14ac:dyDescent="0.25">
      <c r="A111" s="1">
        <v>80</v>
      </c>
      <c r="B111" s="60"/>
      <c r="C111" s="75"/>
      <c r="D111" s="82"/>
      <c r="E111" s="480" t="str">
        <f>IF($D111="","",VLOOKUP($D111,LookupTables!$B$3:$D$172,2,0))</f>
        <v/>
      </c>
      <c r="F111" s="82"/>
      <c r="G111" s="480" t="str">
        <f t="shared" si="1"/>
        <v/>
      </c>
      <c r="H111" s="82"/>
      <c r="I111" s="82"/>
      <c r="J111" s="75"/>
      <c r="K111"/>
      <c r="L111" s="78"/>
      <c r="P111" s="411"/>
      <c r="W111" s="78"/>
    </row>
    <row r="112" spans="1:23" x14ac:dyDescent="0.25">
      <c r="A112" s="1">
        <v>81</v>
      </c>
      <c r="B112" s="60"/>
      <c r="C112" s="75"/>
      <c r="D112" s="82"/>
      <c r="E112" s="480" t="str">
        <f>IF($D112="","",VLOOKUP($D112,LookupTables!$B$3:$D$172,2,0))</f>
        <v/>
      </c>
      <c r="F112" s="82"/>
      <c r="G112" s="480" t="str">
        <f t="shared" si="1"/>
        <v/>
      </c>
      <c r="H112" s="82"/>
      <c r="I112" s="82"/>
      <c r="J112" s="75"/>
      <c r="K112"/>
      <c r="L112" s="78"/>
      <c r="P112" s="411"/>
      <c r="W112" s="78"/>
    </row>
    <row r="113" spans="1:23" x14ac:dyDescent="0.25">
      <c r="A113" s="1">
        <v>82</v>
      </c>
      <c r="B113" s="60"/>
      <c r="C113" s="75"/>
      <c r="D113" s="82"/>
      <c r="E113" s="480" t="str">
        <f>IF($D113="","",VLOOKUP($D113,LookupTables!$B$3:$D$172,2,0))</f>
        <v/>
      </c>
      <c r="F113" s="82"/>
      <c r="G113" s="480" t="str">
        <f t="shared" si="1"/>
        <v/>
      </c>
      <c r="H113" s="82"/>
      <c r="I113" s="82"/>
      <c r="J113" s="75"/>
      <c r="K113"/>
      <c r="L113" s="78"/>
      <c r="P113" s="411"/>
      <c r="W113" s="78"/>
    </row>
    <row r="114" spans="1:23" x14ac:dyDescent="0.25">
      <c r="A114" s="1">
        <v>83</v>
      </c>
      <c r="B114" s="60"/>
      <c r="C114" s="75"/>
      <c r="D114" s="82"/>
      <c r="E114" s="480" t="str">
        <f>IF($D114="","",VLOOKUP($D114,LookupTables!$B$3:$D$172,2,0))</f>
        <v/>
      </c>
      <c r="F114" s="82"/>
      <c r="G114" s="480" t="str">
        <f t="shared" si="1"/>
        <v/>
      </c>
      <c r="H114" s="82"/>
      <c r="I114" s="82"/>
      <c r="J114" s="75"/>
      <c r="K114"/>
      <c r="L114" s="78"/>
      <c r="P114" s="411"/>
      <c r="W114" s="78"/>
    </row>
    <row r="115" spans="1:23" x14ac:dyDescent="0.25">
      <c r="A115" s="1">
        <v>84</v>
      </c>
      <c r="B115" s="60"/>
      <c r="C115" s="75"/>
      <c r="D115" s="82"/>
      <c r="E115" s="480" t="str">
        <f>IF($D115="","",VLOOKUP($D115,LookupTables!$B$3:$D$172,2,0))</f>
        <v/>
      </c>
      <c r="F115" s="82"/>
      <c r="G115" s="480" t="str">
        <f t="shared" si="1"/>
        <v/>
      </c>
      <c r="H115" s="82"/>
      <c r="I115" s="82"/>
      <c r="J115" s="75"/>
      <c r="K115"/>
      <c r="L115" s="78"/>
      <c r="P115" s="411"/>
      <c r="W115" s="78"/>
    </row>
    <row r="116" spans="1:23" x14ac:dyDescent="0.25">
      <c r="A116" s="1">
        <v>85</v>
      </c>
      <c r="B116" s="60"/>
      <c r="C116" s="75"/>
      <c r="D116" s="82"/>
      <c r="E116" s="480" t="str">
        <f>IF($D116="","",VLOOKUP($D116,LookupTables!$B$3:$D$172,2,0))</f>
        <v/>
      </c>
      <c r="F116" s="82"/>
      <c r="G116" s="480" t="str">
        <f t="shared" si="1"/>
        <v/>
      </c>
      <c r="H116" s="82"/>
      <c r="I116" s="82"/>
      <c r="J116" s="75"/>
      <c r="K116"/>
      <c r="L116" s="78"/>
      <c r="P116" s="411"/>
      <c r="W116" s="78"/>
    </row>
    <row r="117" spans="1:23" x14ac:dyDescent="0.25">
      <c r="A117" s="1">
        <v>86</v>
      </c>
      <c r="B117" s="60"/>
      <c r="C117" s="75"/>
      <c r="D117" s="82"/>
      <c r="E117" s="480" t="str">
        <f>IF($D117="","",VLOOKUP($D117,LookupTables!$B$3:$D$172,2,0))</f>
        <v/>
      </c>
      <c r="F117" s="82"/>
      <c r="G117" s="480" t="str">
        <f t="shared" si="1"/>
        <v/>
      </c>
      <c r="H117" s="82"/>
      <c r="I117" s="82"/>
      <c r="J117" s="75"/>
      <c r="K117"/>
      <c r="L117" s="78"/>
      <c r="P117" s="411"/>
      <c r="W117" s="78"/>
    </row>
    <row r="118" spans="1:23" x14ac:dyDescent="0.25">
      <c r="A118" s="1">
        <v>87</v>
      </c>
      <c r="B118" s="60"/>
      <c r="C118" s="75"/>
      <c r="D118" s="82"/>
      <c r="E118" s="480" t="str">
        <f>IF($D118="","",VLOOKUP($D118,LookupTables!$B$3:$D$172,2,0))</f>
        <v/>
      </c>
      <c r="F118" s="82"/>
      <c r="G118" s="480" t="str">
        <f t="shared" si="1"/>
        <v/>
      </c>
      <c r="H118" s="82"/>
      <c r="I118" s="82"/>
      <c r="J118" s="75"/>
      <c r="K118"/>
      <c r="L118" s="78"/>
      <c r="P118" s="411"/>
      <c r="W118" s="78"/>
    </row>
    <row r="119" spans="1:23" x14ac:dyDescent="0.25">
      <c r="A119" s="1">
        <v>88</v>
      </c>
      <c r="B119" s="60"/>
      <c r="C119" s="75"/>
      <c r="D119" s="82"/>
      <c r="E119" s="480" t="str">
        <f>IF($D119="","",VLOOKUP($D119,LookupTables!$B$3:$D$172,2,0))</f>
        <v/>
      </c>
      <c r="F119" s="82"/>
      <c r="G119" s="480" t="str">
        <f t="shared" si="1"/>
        <v/>
      </c>
      <c r="H119" s="82"/>
      <c r="I119" s="82"/>
      <c r="J119" s="75"/>
      <c r="K119"/>
      <c r="L119" s="78"/>
      <c r="P119" s="411"/>
      <c r="W119" s="78"/>
    </row>
    <row r="120" spans="1:23" x14ac:dyDescent="0.25">
      <c r="A120" s="1">
        <v>89</v>
      </c>
      <c r="B120" s="60"/>
      <c r="C120" s="75"/>
      <c r="D120" s="82"/>
      <c r="E120" s="480" t="str">
        <f>IF($D120="","",VLOOKUP($D120,LookupTables!$B$3:$D$172,2,0))</f>
        <v/>
      </c>
      <c r="F120" s="82"/>
      <c r="G120" s="480" t="str">
        <f t="shared" si="1"/>
        <v/>
      </c>
      <c r="H120" s="82"/>
      <c r="I120" s="82"/>
      <c r="J120" s="75"/>
      <c r="K120"/>
      <c r="L120" s="78"/>
      <c r="P120" s="411"/>
      <c r="W120" s="78"/>
    </row>
    <row r="121" spans="1:23" x14ac:dyDescent="0.25">
      <c r="A121" s="1">
        <v>90</v>
      </c>
      <c r="B121" s="60"/>
      <c r="C121" s="75"/>
      <c r="D121" s="82"/>
      <c r="E121" s="480" t="str">
        <f>IF($D121="","",VLOOKUP($D121,LookupTables!$B$3:$D$172,2,0))</f>
        <v/>
      </c>
      <c r="F121" s="82"/>
      <c r="G121" s="480" t="str">
        <f t="shared" si="1"/>
        <v/>
      </c>
      <c r="H121" s="82"/>
      <c r="I121" s="82"/>
      <c r="J121" s="75"/>
      <c r="K121"/>
      <c r="L121" s="78"/>
      <c r="P121" s="411"/>
      <c r="W121" s="78"/>
    </row>
    <row r="122" spans="1:23" x14ac:dyDescent="0.25">
      <c r="A122" s="1">
        <v>91</v>
      </c>
      <c r="B122" s="60"/>
      <c r="C122" s="75"/>
      <c r="D122" s="82"/>
      <c r="E122" s="480" t="str">
        <f>IF($D122="","",VLOOKUP($D122,LookupTables!$B$3:$D$172,2,0))</f>
        <v/>
      </c>
      <c r="F122" s="82"/>
      <c r="G122" s="480" t="str">
        <f t="shared" si="1"/>
        <v/>
      </c>
      <c r="H122" s="82"/>
      <c r="I122" s="82"/>
      <c r="J122" s="75"/>
      <c r="K122"/>
      <c r="L122" s="78"/>
      <c r="P122" s="411"/>
      <c r="W122" s="78"/>
    </row>
    <row r="123" spans="1:23" x14ac:dyDescent="0.25">
      <c r="A123" s="1">
        <v>92</v>
      </c>
      <c r="B123" s="60"/>
      <c r="C123" s="75"/>
      <c r="D123" s="82"/>
      <c r="E123" s="480" t="str">
        <f>IF($D123="","",VLOOKUP($D123,LookupTables!$B$3:$D$172,2,0))</f>
        <v/>
      </c>
      <c r="F123" s="82"/>
      <c r="G123" s="480" t="str">
        <f t="shared" si="1"/>
        <v/>
      </c>
      <c r="H123" s="82"/>
      <c r="I123" s="82"/>
      <c r="J123" s="75"/>
      <c r="K123"/>
      <c r="L123" s="78"/>
      <c r="P123" s="411"/>
      <c r="W123" s="78"/>
    </row>
    <row r="124" spans="1:23" x14ac:dyDescent="0.25">
      <c r="A124" s="1">
        <v>93</v>
      </c>
      <c r="B124" s="60"/>
      <c r="C124" s="75"/>
      <c r="D124" s="82"/>
      <c r="E124" s="480" t="str">
        <f>IF($D124="","",VLOOKUP($D124,LookupTables!$B$3:$D$172,2,0))</f>
        <v/>
      </c>
      <c r="F124" s="82"/>
      <c r="G124" s="480" t="str">
        <f t="shared" si="1"/>
        <v/>
      </c>
      <c r="H124" s="82"/>
      <c r="I124" s="82"/>
      <c r="J124" s="75"/>
      <c r="K124"/>
      <c r="L124" s="78"/>
      <c r="P124" s="411"/>
      <c r="W124" s="78"/>
    </row>
    <row r="125" spans="1:23" x14ac:dyDescent="0.25">
      <c r="A125" s="1">
        <v>94</v>
      </c>
      <c r="B125" s="60"/>
      <c r="C125" s="75"/>
      <c r="D125" s="82"/>
      <c r="E125" s="480" t="str">
        <f>IF($D125="","",VLOOKUP($D125,LookupTables!$B$3:$D$172,2,0))</f>
        <v/>
      </c>
      <c r="F125" s="82"/>
      <c r="G125" s="480" t="str">
        <f t="shared" si="1"/>
        <v/>
      </c>
      <c r="H125" s="82"/>
      <c r="I125" s="82"/>
      <c r="J125" s="75"/>
      <c r="K125"/>
      <c r="L125" s="78"/>
      <c r="P125" s="411"/>
      <c r="W125" s="78"/>
    </row>
    <row r="126" spans="1:23" x14ac:dyDescent="0.25">
      <c r="A126" s="1">
        <v>95</v>
      </c>
      <c r="B126" s="60"/>
      <c r="C126" s="75"/>
      <c r="D126" s="82"/>
      <c r="E126" s="480" t="str">
        <f>IF($D126="","",VLOOKUP($D126,LookupTables!$B$3:$D$172,2,0))</f>
        <v/>
      </c>
      <c r="F126" s="82"/>
      <c r="G126" s="480" t="str">
        <f t="shared" si="1"/>
        <v/>
      </c>
      <c r="H126" s="82"/>
      <c r="I126" s="82"/>
      <c r="J126" s="75"/>
      <c r="K126"/>
      <c r="L126" s="78"/>
      <c r="P126" s="411"/>
      <c r="W126" s="78"/>
    </row>
    <row r="127" spans="1:23" x14ac:dyDescent="0.25">
      <c r="A127" s="1">
        <v>96</v>
      </c>
      <c r="B127" s="60"/>
      <c r="C127" s="75"/>
      <c r="D127" s="82"/>
      <c r="E127" s="480" t="str">
        <f>IF($D127="","",VLOOKUP($D127,LookupTables!$B$3:$D$172,2,0))</f>
        <v/>
      </c>
      <c r="F127" s="82"/>
      <c r="G127" s="480" t="str">
        <f t="shared" si="1"/>
        <v/>
      </c>
      <c r="H127" s="82"/>
      <c r="I127" s="82"/>
      <c r="J127" s="75"/>
      <c r="K127"/>
      <c r="L127" s="78"/>
      <c r="P127" s="411"/>
      <c r="W127" s="78"/>
    </row>
    <row r="128" spans="1:23" x14ac:dyDescent="0.25">
      <c r="A128" s="1">
        <v>97</v>
      </c>
      <c r="B128" s="60"/>
      <c r="C128" s="75"/>
      <c r="D128" s="82"/>
      <c r="E128" s="480" t="str">
        <f>IF($D128="","",VLOOKUP($D128,LookupTables!$B$3:$D$172,2,0))</f>
        <v/>
      </c>
      <c r="F128" s="82"/>
      <c r="G128" s="480" t="str">
        <f t="shared" si="1"/>
        <v/>
      </c>
      <c r="H128" s="82"/>
      <c r="I128" s="82"/>
      <c r="J128" s="75"/>
      <c r="K128"/>
      <c r="L128" s="78"/>
      <c r="P128" s="411"/>
      <c r="W128" s="78"/>
    </row>
    <row r="129" spans="1:23" x14ac:dyDescent="0.25">
      <c r="A129" s="1">
        <v>98</v>
      </c>
      <c r="B129" s="60"/>
      <c r="C129" s="75"/>
      <c r="D129" s="82"/>
      <c r="E129" s="480" t="str">
        <f>IF($D129="","",VLOOKUP($D129,LookupTables!$B$3:$D$172,2,0))</f>
        <v/>
      </c>
      <c r="F129" s="82"/>
      <c r="G129" s="480" t="str">
        <f t="shared" si="1"/>
        <v/>
      </c>
      <c r="H129" s="82"/>
      <c r="I129" s="82"/>
      <c r="J129" s="75"/>
      <c r="K129"/>
      <c r="L129" s="78"/>
      <c r="P129" s="411"/>
      <c r="W129" s="78"/>
    </row>
    <row r="130" spans="1:23" x14ac:dyDescent="0.25">
      <c r="A130" s="1">
        <v>99</v>
      </c>
      <c r="B130" s="60"/>
      <c r="C130" s="75"/>
      <c r="D130" s="82"/>
      <c r="E130" s="480" t="str">
        <f>IF($D130="","",VLOOKUP($D130,LookupTables!$B$3:$D$172,2,0))</f>
        <v/>
      </c>
      <c r="F130" s="82"/>
      <c r="G130" s="480" t="str">
        <f t="shared" si="1"/>
        <v/>
      </c>
      <c r="H130" s="82"/>
      <c r="I130" s="82"/>
      <c r="J130" s="75"/>
      <c r="K130"/>
      <c r="L130" s="78"/>
      <c r="P130" s="411"/>
      <c r="W130" s="78"/>
    </row>
    <row r="131" spans="1:23" x14ac:dyDescent="0.25">
      <c r="A131" s="1">
        <v>100</v>
      </c>
      <c r="B131" s="60"/>
      <c r="C131" s="75"/>
      <c r="D131" s="82"/>
      <c r="E131" s="480" t="str">
        <f>IF($D131="","",VLOOKUP($D131,LookupTables!$B$3:$D$172,2,0))</f>
        <v/>
      </c>
      <c r="F131" s="82"/>
      <c r="G131" s="480" t="str">
        <f t="shared" si="1"/>
        <v/>
      </c>
      <c r="H131" s="82"/>
      <c r="I131" s="82"/>
      <c r="J131" s="75"/>
      <c r="K131"/>
      <c r="L131" s="78"/>
      <c r="P131" s="411"/>
      <c r="W131" s="78"/>
    </row>
    <row r="132" spans="1:23" x14ac:dyDescent="0.25">
      <c r="A132" s="1">
        <v>101</v>
      </c>
      <c r="B132" s="60"/>
      <c r="C132" s="75"/>
      <c r="D132" s="82"/>
      <c r="E132" s="480" t="str">
        <f>IF($D132="","",VLOOKUP($D132,LookupTables!$B$3:$D$172,2,0))</f>
        <v/>
      </c>
      <c r="F132" s="82"/>
      <c r="G132" s="480" t="str">
        <f t="shared" si="1"/>
        <v/>
      </c>
      <c r="H132" s="82"/>
      <c r="I132" s="82"/>
      <c r="J132" s="75"/>
      <c r="K132"/>
      <c r="L132" s="78"/>
      <c r="P132" s="411"/>
      <c r="W132" s="78"/>
    </row>
    <row r="133" spans="1:23" x14ac:dyDescent="0.25">
      <c r="A133" s="1">
        <v>102</v>
      </c>
      <c r="B133" s="60"/>
      <c r="C133" s="75"/>
      <c r="D133" s="82"/>
      <c r="E133" s="480" t="str">
        <f>IF($D133="","",VLOOKUP($D133,LookupTables!$B$3:$D$172,2,0))</f>
        <v/>
      </c>
      <c r="F133" s="82"/>
      <c r="G133" s="480" t="str">
        <f t="shared" si="1"/>
        <v/>
      </c>
      <c r="H133" s="82"/>
      <c r="I133" s="82"/>
      <c r="J133" s="75"/>
      <c r="K133"/>
      <c r="L133" s="78"/>
      <c r="P133" s="411"/>
      <c r="W133" s="78"/>
    </row>
    <row r="134" spans="1:23" x14ac:dyDescent="0.25">
      <c r="A134" s="1">
        <v>103</v>
      </c>
      <c r="B134" s="60"/>
      <c r="C134" s="75"/>
      <c r="D134" s="82"/>
      <c r="E134" s="480" t="str">
        <f>IF($D134="","",VLOOKUP($D134,LookupTables!$B$3:$D$172,2,0))</f>
        <v/>
      </c>
      <c r="F134" s="82"/>
      <c r="G134" s="480" t="str">
        <f t="shared" si="1"/>
        <v/>
      </c>
      <c r="H134" s="82"/>
      <c r="I134" s="82"/>
      <c r="J134" s="75"/>
      <c r="K134"/>
      <c r="L134" s="78"/>
      <c r="P134" s="411"/>
      <c r="W134" s="78"/>
    </row>
    <row r="135" spans="1:23" x14ac:dyDescent="0.25">
      <c r="A135" s="1">
        <v>104</v>
      </c>
      <c r="B135" s="60"/>
      <c r="C135" s="75"/>
      <c r="D135" s="82"/>
      <c r="E135" s="480" t="str">
        <f>IF($D135="","",VLOOKUP($D135,LookupTables!$B$3:$D$172,2,0))</f>
        <v/>
      </c>
      <c r="F135" s="82"/>
      <c r="G135" s="480" t="str">
        <f t="shared" si="1"/>
        <v/>
      </c>
      <c r="H135" s="82"/>
      <c r="I135" s="82"/>
      <c r="J135" s="75"/>
      <c r="K135"/>
      <c r="L135" s="78"/>
      <c r="P135" s="411"/>
      <c r="W135" s="78"/>
    </row>
    <row r="136" spans="1:23" x14ac:dyDescent="0.25">
      <c r="A136" s="1">
        <v>105</v>
      </c>
      <c r="B136" s="60"/>
      <c r="C136" s="75"/>
      <c r="D136" s="82"/>
      <c r="E136" s="480" t="str">
        <f>IF($D136="","",VLOOKUP($D136,LookupTables!$B$3:$D$172,2,0))</f>
        <v/>
      </c>
      <c r="F136" s="82"/>
      <c r="G136" s="480" t="str">
        <f t="shared" si="1"/>
        <v/>
      </c>
      <c r="H136" s="82"/>
      <c r="I136" s="82"/>
      <c r="J136" s="75"/>
      <c r="K136"/>
      <c r="L136" s="78"/>
      <c r="P136" s="411"/>
      <c r="W136" s="78"/>
    </row>
    <row r="137" spans="1:23" x14ac:dyDescent="0.25">
      <c r="A137" s="1">
        <v>106</v>
      </c>
      <c r="B137" s="60"/>
      <c r="C137" s="75"/>
      <c r="D137" s="82"/>
      <c r="E137" s="480" t="str">
        <f>IF($D137="","",VLOOKUP($D137,LookupTables!$B$3:$D$172,2,0))</f>
        <v/>
      </c>
      <c r="F137" s="82"/>
      <c r="G137" s="480" t="str">
        <f t="shared" si="1"/>
        <v/>
      </c>
      <c r="H137" s="82"/>
      <c r="I137" s="82"/>
      <c r="J137" s="75"/>
      <c r="K137"/>
      <c r="L137" s="78"/>
      <c r="P137" s="411"/>
      <c r="W137" s="78"/>
    </row>
    <row r="138" spans="1:23" x14ac:dyDescent="0.25">
      <c r="A138" s="1">
        <v>107</v>
      </c>
      <c r="B138" s="60"/>
      <c r="C138" s="75"/>
      <c r="D138" s="82"/>
      <c r="E138" s="480" t="str">
        <f>IF($D138="","",VLOOKUP($D138,LookupTables!$B$3:$D$172,2,0))</f>
        <v/>
      </c>
      <c r="F138" s="82"/>
      <c r="G138" s="480" t="str">
        <f t="shared" si="1"/>
        <v/>
      </c>
      <c r="H138" s="82"/>
      <c r="I138" s="82"/>
      <c r="J138" s="75"/>
      <c r="K138"/>
      <c r="L138" s="78"/>
      <c r="P138" s="411"/>
      <c r="W138" s="78"/>
    </row>
    <row r="139" spans="1:23" x14ac:dyDescent="0.25">
      <c r="A139" s="1">
        <v>108</v>
      </c>
      <c r="B139" s="60"/>
      <c r="C139" s="75"/>
      <c r="D139" s="82"/>
      <c r="E139" s="480" t="str">
        <f>IF($D139="","",VLOOKUP($D139,LookupTables!$B$3:$D$172,2,0))</f>
        <v/>
      </c>
      <c r="F139" s="82"/>
      <c r="G139" s="480" t="str">
        <f t="shared" si="1"/>
        <v/>
      </c>
      <c r="H139" s="82"/>
      <c r="I139" s="82"/>
      <c r="J139" s="75"/>
      <c r="K139"/>
      <c r="L139" s="78"/>
      <c r="P139" s="411"/>
      <c r="W139" s="78"/>
    </row>
    <row r="140" spans="1:23" x14ac:dyDescent="0.25">
      <c r="A140" s="1">
        <v>109</v>
      </c>
      <c r="B140" s="60"/>
      <c r="C140" s="75"/>
      <c r="D140" s="82"/>
      <c r="E140" s="480" t="str">
        <f>IF($D140="","",VLOOKUP($D140,LookupTables!$B$3:$D$172,2,0))</f>
        <v/>
      </c>
      <c r="F140" s="82"/>
      <c r="G140" s="480" t="str">
        <f t="shared" si="1"/>
        <v/>
      </c>
      <c r="H140" s="82"/>
      <c r="I140" s="82"/>
      <c r="J140" s="75"/>
      <c r="K140"/>
      <c r="L140" s="78"/>
      <c r="P140" s="411"/>
      <c r="W140" s="78"/>
    </row>
    <row r="141" spans="1:23" x14ac:dyDescent="0.25">
      <c r="A141" s="1">
        <v>110</v>
      </c>
      <c r="B141" s="60"/>
      <c r="C141" s="75"/>
      <c r="D141" s="82"/>
      <c r="E141" s="480" t="str">
        <f>IF($D141="","",VLOOKUP($D141,LookupTables!$B$3:$D$172,2,0))</f>
        <v/>
      </c>
      <c r="F141" s="82"/>
      <c r="G141" s="480" t="str">
        <f t="shared" si="1"/>
        <v/>
      </c>
      <c r="H141" s="82"/>
      <c r="I141" s="82"/>
      <c r="J141" s="75"/>
      <c r="K141"/>
      <c r="L141" s="78"/>
      <c r="P141" s="411"/>
      <c r="W141" s="78"/>
    </row>
    <row r="142" spans="1:23" x14ac:dyDescent="0.25">
      <c r="A142" s="1">
        <v>111</v>
      </c>
      <c r="B142" s="60"/>
      <c r="C142" s="75"/>
      <c r="D142" s="82"/>
      <c r="E142" s="480" t="str">
        <f>IF($D142="","",VLOOKUP($D142,LookupTables!$B$3:$D$172,2,0))</f>
        <v/>
      </c>
      <c r="F142" s="82"/>
      <c r="G142" s="480" t="str">
        <f t="shared" si="1"/>
        <v/>
      </c>
      <c r="H142" s="82"/>
      <c r="I142" s="82"/>
      <c r="J142" s="75"/>
      <c r="K142"/>
      <c r="L142" s="78"/>
      <c r="P142" s="411"/>
      <c r="W142" s="78"/>
    </row>
    <row r="143" spans="1:23" x14ac:dyDescent="0.25">
      <c r="A143" s="1">
        <v>112</v>
      </c>
      <c r="B143" s="60"/>
      <c r="C143" s="75"/>
      <c r="D143" s="82"/>
      <c r="E143" s="480" t="str">
        <f>IF($D143="","",VLOOKUP($D143,LookupTables!$B$3:$D$172,2,0))</f>
        <v/>
      </c>
      <c r="F143" s="82"/>
      <c r="G143" s="480" t="str">
        <f t="shared" si="1"/>
        <v/>
      </c>
      <c r="H143" s="82"/>
      <c r="I143" s="82"/>
      <c r="J143" s="75"/>
      <c r="K143"/>
      <c r="L143" s="78"/>
      <c r="P143" s="411"/>
      <c r="W143" s="78"/>
    </row>
    <row r="144" spans="1:23" x14ac:dyDescent="0.25">
      <c r="A144" s="1">
        <v>113</v>
      </c>
      <c r="B144" s="60"/>
      <c r="C144" s="75"/>
      <c r="D144" s="82"/>
      <c r="E144" s="480" t="str">
        <f>IF($D144="","",VLOOKUP($D144,LookupTables!$B$3:$D$172,2,0))</f>
        <v/>
      </c>
      <c r="F144" s="82"/>
      <c r="G144" s="480" t="str">
        <f t="shared" si="1"/>
        <v/>
      </c>
      <c r="H144" s="82"/>
      <c r="I144" s="82"/>
      <c r="J144" s="75"/>
      <c r="K144"/>
      <c r="L144" s="78"/>
      <c r="P144" s="411"/>
      <c r="W144" s="78"/>
    </row>
    <row r="145" spans="1:23" x14ac:dyDescent="0.25">
      <c r="A145" s="1">
        <v>114</v>
      </c>
      <c r="B145" s="60"/>
      <c r="C145" s="75"/>
      <c r="D145" s="82"/>
      <c r="E145" s="480" t="str">
        <f>IF($D145="","",VLOOKUP($D145,LookupTables!$B$3:$D$172,2,0))</f>
        <v/>
      </c>
      <c r="F145" s="82"/>
      <c r="G145" s="480" t="str">
        <f t="shared" si="1"/>
        <v/>
      </c>
      <c r="H145" s="82"/>
      <c r="I145" s="82"/>
      <c r="J145" s="75"/>
      <c r="K145"/>
      <c r="L145" s="78"/>
      <c r="P145" s="411"/>
      <c r="W145" s="78"/>
    </row>
    <row r="146" spans="1:23" x14ac:dyDescent="0.25">
      <c r="A146" s="1">
        <v>115</v>
      </c>
      <c r="B146" s="60"/>
      <c r="C146" s="75"/>
      <c r="D146" s="82"/>
      <c r="E146" s="480" t="str">
        <f>IF($D146="","",VLOOKUP($D146,LookupTables!$B$3:$D$172,2,0))</f>
        <v/>
      </c>
      <c r="F146" s="82"/>
      <c r="G146" s="480" t="str">
        <f t="shared" si="1"/>
        <v/>
      </c>
      <c r="H146" s="82"/>
      <c r="I146" s="82"/>
      <c r="J146" s="75"/>
      <c r="K146"/>
      <c r="L146" s="78"/>
      <c r="P146" s="411"/>
      <c r="W146" s="78"/>
    </row>
    <row r="147" spans="1:23" x14ac:dyDescent="0.25">
      <c r="A147" s="1">
        <v>116</v>
      </c>
      <c r="B147" s="60"/>
      <c r="C147" s="75"/>
      <c r="D147" s="82"/>
      <c r="E147" s="480" t="str">
        <f>IF($D147="","",VLOOKUP($D147,LookupTables!$B$3:$D$172,2,0))</f>
        <v/>
      </c>
      <c r="F147" s="82"/>
      <c r="G147" s="480" t="str">
        <f t="shared" si="1"/>
        <v/>
      </c>
      <c r="H147" s="82"/>
      <c r="I147" s="82"/>
      <c r="J147" s="75"/>
      <c r="K147"/>
      <c r="L147" s="78"/>
      <c r="P147" s="411"/>
      <c r="W147" s="78"/>
    </row>
    <row r="148" spans="1:23" x14ac:dyDescent="0.25">
      <c r="A148" s="1">
        <v>117</v>
      </c>
      <c r="B148" s="60"/>
      <c r="C148" s="75"/>
      <c r="D148" s="82"/>
      <c r="E148" s="480" t="str">
        <f>IF($D148="","",VLOOKUP($D148,LookupTables!$B$3:$D$172,2,0))</f>
        <v/>
      </c>
      <c r="F148" s="82"/>
      <c r="G148" s="480" t="str">
        <f t="shared" si="1"/>
        <v/>
      </c>
      <c r="H148" s="82"/>
      <c r="I148" s="82"/>
      <c r="J148" s="75"/>
      <c r="K148"/>
      <c r="L148" s="78"/>
      <c r="P148" s="411"/>
      <c r="W148" s="78"/>
    </row>
    <row r="149" spans="1:23" x14ac:dyDescent="0.25">
      <c r="A149" s="1">
        <v>118</v>
      </c>
      <c r="B149" s="60"/>
      <c r="C149" s="75"/>
      <c r="D149" s="82"/>
      <c r="E149" s="480" t="str">
        <f>IF($D149="","",VLOOKUP($D149,LookupTables!$B$3:$D$172,2,0))</f>
        <v/>
      </c>
      <c r="F149" s="82"/>
      <c r="G149" s="480" t="str">
        <f t="shared" si="1"/>
        <v/>
      </c>
      <c r="H149" s="82"/>
      <c r="I149" s="82"/>
      <c r="J149" s="75"/>
      <c r="K149"/>
      <c r="L149" s="78"/>
      <c r="P149" s="411"/>
      <c r="W149" s="78"/>
    </row>
    <row r="150" spans="1:23" x14ac:dyDescent="0.25">
      <c r="A150" s="1">
        <v>119</v>
      </c>
      <c r="B150" s="60"/>
      <c r="C150" s="75"/>
      <c r="D150" s="82"/>
      <c r="E150" s="480" t="str">
        <f>IF($D150="","",VLOOKUP($D150,LookupTables!$B$3:$D$172,2,0))</f>
        <v/>
      </c>
      <c r="F150" s="82"/>
      <c r="G150" s="480" t="str">
        <f t="shared" si="1"/>
        <v/>
      </c>
      <c r="H150" s="82"/>
      <c r="I150" s="82"/>
      <c r="J150" s="75"/>
      <c r="K150"/>
      <c r="L150" s="78"/>
      <c r="P150" s="411"/>
      <c r="W150" s="78"/>
    </row>
    <row r="151" spans="1:23" x14ac:dyDescent="0.25">
      <c r="A151" s="1">
        <v>120</v>
      </c>
      <c r="B151" s="60"/>
      <c r="C151" s="75"/>
      <c r="D151" s="82"/>
      <c r="E151" s="480" t="str">
        <f>IF($D151="","",VLOOKUP($D151,LookupTables!$B$3:$D$172,2,0))</f>
        <v/>
      </c>
      <c r="F151" s="82"/>
      <c r="G151" s="480" t="str">
        <f t="shared" si="1"/>
        <v/>
      </c>
      <c r="H151" s="82"/>
      <c r="I151" s="82"/>
      <c r="J151" s="75"/>
      <c r="K151"/>
      <c r="L151" s="78"/>
      <c r="P151" s="411"/>
      <c r="W151" s="78"/>
    </row>
    <row r="152" spans="1:23" x14ac:dyDescent="0.25">
      <c r="A152" s="1">
        <v>121</v>
      </c>
      <c r="B152" s="60"/>
      <c r="C152" s="75"/>
      <c r="D152" s="82"/>
      <c r="E152" s="480" t="str">
        <f>IF($D152="","",VLOOKUP($D152,LookupTables!$B$3:$D$172,2,0))</f>
        <v/>
      </c>
      <c r="F152" s="82"/>
      <c r="G152" s="480" t="str">
        <f t="shared" si="1"/>
        <v/>
      </c>
      <c r="H152" s="82"/>
      <c r="I152" s="82"/>
      <c r="J152" s="75"/>
      <c r="K152"/>
      <c r="L152" s="78"/>
      <c r="P152" s="411"/>
      <c r="W152" s="78"/>
    </row>
    <row r="153" spans="1:23" x14ac:dyDescent="0.25">
      <c r="A153" s="1">
        <v>122</v>
      </c>
      <c r="B153" s="60"/>
      <c r="C153" s="75"/>
      <c r="D153" s="82"/>
      <c r="E153" s="480" t="str">
        <f>IF($D153="","",VLOOKUP($D153,LookupTables!$B$3:$D$172,2,0))</f>
        <v/>
      </c>
      <c r="F153" s="82"/>
      <c r="G153" s="480" t="str">
        <f t="shared" si="1"/>
        <v/>
      </c>
      <c r="H153" s="82"/>
      <c r="I153" s="82"/>
      <c r="J153" s="75"/>
      <c r="K153"/>
      <c r="L153" s="78"/>
      <c r="P153" s="411"/>
      <c r="W153" s="78"/>
    </row>
    <row r="154" spans="1:23" x14ac:dyDescent="0.25">
      <c r="A154" s="1">
        <v>123</v>
      </c>
      <c r="B154" s="60"/>
      <c r="C154" s="75"/>
      <c r="D154" s="82"/>
      <c r="E154" s="480" t="str">
        <f>IF($D154="","",VLOOKUP($D154,LookupTables!$B$3:$D$172,2,0))</f>
        <v/>
      </c>
      <c r="F154" s="82"/>
      <c r="G154" s="480" t="str">
        <f t="shared" si="1"/>
        <v/>
      </c>
      <c r="H154" s="82"/>
      <c r="I154" s="82"/>
      <c r="J154" s="75"/>
      <c r="K154"/>
      <c r="L154" s="78"/>
      <c r="P154" s="411"/>
      <c r="W154" s="78"/>
    </row>
    <row r="155" spans="1:23" x14ac:dyDescent="0.25">
      <c r="A155" s="1">
        <v>124</v>
      </c>
      <c r="B155" s="60"/>
      <c r="C155" s="75"/>
      <c r="D155" s="82"/>
      <c r="E155" s="480" t="str">
        <f>IF($D155="","",VLOOKUP($D155,LookupTables!$B$3:$D$172,2,0))</f>
        <v/>
      </c>
      <c r="F155" s="82"/>
      <c r="G155" s="480" t="str">
        <f t="shared" si="1"/>
        <v/>
      </c>
      <c r="H155" s="82"/>
      <c r="I155" s="82"/>
      <c r="J155" s="75"/>
      <c r="K155"/>
      <c r="L155" s="78"/>
      <c r="P155" s="411"/>
      <c r="W155" s="78"/>
    </row>
    <row r="156" spans="1:23" x14ac:dyDescent="0.25">
      <c r="A156" s="1">
        <v>125</v>
      </c>
      <c r="B156" s="60"/>
      <c r="C156" s="75"/>
      <c r="D156" s="82"/>
      <c r="E156" s="480" t="str">
        <f>IF($D156="","",VLOOKUP($D156,LookupTables!$B$3:$D$172,2,0))</f>
        <v/>
      </c>
      <c r="F156" s="82"/>
      <c r="G156" s="480" t="str">
        <f t="shared" si="1"/>
        <v/>
      </c>
      <c r="H156" s="82"/>
      <c r="I156" s="82"/>
      <c r="J156" s="75"/>
      <c r="K156"/>
      <c r="L156" s="78"/>
      <c r="P156" s="411"/>
      <c r="W156" s="78"/>
    </row>
    <row r="157" spans="1:23" x14ac:dyDescent="0.25">
      <c r="A157" s="1">
        <v>126</v>
      </c>
      <c r="B157" s="60"/>
      <c r="C157" s="75"/>
      <c r="D157" s="82"/>
      <c r="E157" s="480" t="str">
        <f>IF($D157="","",VLOOKUP($D157,LookupTables!$B$3:$D$172,2,0))</f>
        <v/>
      </c>
      <c r="F157" s="82"/>
      <c r="G157" s="480" t="str">
        <f t="shared" si="1"/>
        <v/>
      </c>
      <c r="H157" s="82"/>
      <c r="I157" s="82"/>
      <c r="J157" s="75"/>
      <c r="K157"/>
      <c r="L157" s="78"/>
      <c r="P157" s="411"/>
      <c r="W157" s="78"/>
    </row>
    <row r="158" spans="1:23" x14ac:dyDescent="0.25">
      <c r="A158" s="1">
        <v>127</v>
      </c>
      <c r="B158" s="60"/>
      <c r="C158" s="75"/>
      <c r="D158" s="82"/>
      <c r="E158" s="480" t="str">
        <f>IF($D158="","",VLOOKUP($D158,LookupTables!$B$3:$D$172,2,0))</f>
        <v/>
      </c>
      <c r="F158" s="82"/>
      <c r="G158" s="480" t="str">
        <f t="shared" si="1"/>
        <v/>
      </c>
      <c r="H158" s="82"/>
      <c r="I158" s="82"/>
      <c r="J158" s="75"/>
      <c r="K158"/>
      <c r="L158" s="78"/>
      <c r="P158" s="411"/>
      <c r="W158" s="78"/>
    </row>
    <row r="159" spans="1:23" x14ac:dyDescent="0.25">
      <c r="A159" s="1">
        <v>128</v>
      </c>
      <c r="B159" s="60"/>
      <c r="C159" s="75"/>
      <c r="D159" s="82"/>
      <c r="E159" s="480" t="str">
        <f>IF($D159="","",VLOOKUP($D159,LookupTables!$B$3:$D$172,2,0))</f>
        <v/>
      </c>
      <c r="F159" s="82"/>
      <c r="G159" s="480" t="str">
        <f t="shared" si="1"/>
        <v/>
      </c>
      <c r="H159" s="82"/>
      <c r="I159" s="82"/>
      <c r="J159" s="75"/>
      <c r="K159"/>
      <c r="L159" s="78"/>
      <c r="P159" s="411"/>
      <c r="W159" s="78"/>
    </row>
    <row r="160" spans="1:23" x14ac:dyDescent="0.25">
      <c r="A160" s="1">
        <v>129</v>
      </c>
      <c r="B160" s="60"/>
      <c r="C160" s="75"/>
      <c r="D160" s="82"/>
      <c r="E160" s="480" t="str">
        <f>IF($D160="","",VLOOKUP($D160,LookupTables!$B$3:$D$172,2,0))</f>
        <v/>
      </c>
      <c r="F160" s="82"/>
      <c r="G160" s="480" t="str">
        <f t="shared" si="1"/>
        <v/>
      </c>
      <c r="H160" s="82"/>
      <c r="I160" s="82"/>
      <c r="J160" s="75"/>
      <c r="K160"/>
      <c r="L160" s="78"/>
      <c r="P160" s="411"/>
      <c r="W160" s="78"/>
    </row>
    <row r="161" spans="1:23" x14ac:dyDescent="0.25">
      <c r="A161" s="1">
        <v>130</v>
      </c>
      <c r="B161" s="60"/>
      <c r="C161" s="75"/>
      <c r="D161" s="82"/>
      <c r="E161" s="480" t="str">
        <f>IF($D161="","",VLOOKUP($D161,LookupTables!$B$3:$D$172,2,0))</f>
        <v/>
      </c>
      <c r="F161" s="82"/>
      <c r="G161" s="480" t="str">
        <f t="shared" ref="G161:G181" si="2">IF(OR($E161="", $F161=""),"",CONCATENATE($E161,"-",LEFT($F161,1),LEFT(MID($F161,FIND(" ",$F161)+1,256),1)))</f>
        <v/>
      </c>
      <c r="H161" s="82"/>
      <c r="I161" s="82"/>
      <c r="J161" s="75"/>
      <c r="K161"/>
      <c r="L161" s="78"/>
      <c r="P161" s="411"/>
      <c r="W161" s="78"/>
    </row>
    <row r="162" spans="1:23" x14ac:dyDescent="0.25">
      <c r="A162" s="1">
        <v>131</v>
      </c>
      <c r="B162" s="60"/>
      <c r="C162" s="75"/>
      <c r="D162" s="82"/>
      <c r="E162" s="480" t="str">
        <f>IF($D162="","",VLOOKUP($D162,LookupTables!$B$3:$D$172,2,0))</f>
        <v/>
      </c>
      <c r="F162" s="82"/>
      <c r="G162" s="480" t="str">
        <f t="shared" si="2"/>
        <v/>
      </c>
      <c r="H162" s="82"/>
      <c r="I162" s="82"/>
      <c r="J162" s="75"/>
      <c r="K162"/>
      <c r="L162" s="78"/>
      <c r="P162" s="411"/>
      <c r="W162" s="78"/>
    </row>
    <row r="163" spans="1:23" x14ac:dyDescent="0.25">
      <c r="A163" s="1">
        <v>132</v>
      </c>
      <c r="B163" s="60"/>
      <c r="C163" s="75"/>
      <c r="D163" s="82"/>
      <c r="E163" s="480" t="str">
        <f>IF($D163="","",VLOOKUP($D163,LookupTables!$B$3:$D$172,2,0))</f>
        <v/>
      </c>
      <c r="F163" s="82"/>
      <c r="G163" s="480" t="str">
        <f t="shared" si="2"/>
        <v/>
      </c>
      <c r="H163" s="82"/>
      <c r="I163" s="82"/>
      <c r="J163" s="75"/>
      <c r="K163"/>
      <c r="L163" s="78"/>
      <c r="P163" s="411"/>
      <c r="W163" s="78"/>
    </row>
    <row r="164" spans="1:23" x14ac:dyDescent="0.25">
      <c r="A164" s="1">
        <v>133</v>
      </c>
      <c r="B164" s="60"/>
      <c r="C164" s="75"/>
      <c r="D164" s="82"/>
      <c r="E164" s="480" t="str">
        <f>IF($D164="","",VLOOKUP($D164,LookupTables!$B$3:$D$172,2,0))</f>
        <v/>
      </c>
      <c r="F164" s="82"/>
      <c r="G164" s="480" t="str">
        <f t="shared" si="2"/>
        <v/>
      </c>
      <c r="H164" s="82"/>
      <c r="I164" s="82"/>
      <c r="J164" s="75"/>
      <c r="K164"/>
      <c r="L164" s="78"/>
      <c r="P164" s="411"/>
      <c r="W164" s="78"/>
    </row>
    <row r="165" spans="1:23" x14ac:dyDescent="0.25">
      <c r="A165" s="1">
        <v>134</v>
      </c>
      <c r="B165" s="60"/>
      <c r="C165" s="75"/>
      <c r="D165" s="82"/>
      <c r="E165" s="480" t="str">
        <f>IF($D165="","",VLOOKUP($D165,LookupTables!$B$3:$D$172,2,0))</f>
        <v/>
      </c>
      <c r="F165" s="82"/>
      <c r="G165" s="480" t="str">
        <f t="shared" si="2"/>
        <v/>
      </c>
      <c r="H165" s="82"/>
      <c r="I165" s="82"/>
      <c r="J165" s="75"/>
      <c r="K165"/>
      <c r="L165" s="78"/>
      <c r="P165" s="411"/>
      <c r="W165" s="78"/>
    </row>
    <row r="166" spans="1:23" x14ac:dyDescent="0.25">
      <c r="A166" s="1">
        <v>135</v>
      </c>
      <c r="B166" s="60"/>
      <c r="C166" s="75"/>
      <c r="D166" s="82"/>
      <c r="E166" s="480" t="str">
        <f>IF($D166="","",VLOOKUP($D166,LookupTables!$B$3:$D$172,2,0))</f>
        <v/>
      </c>
      <c r="F166" s="82"/>
      <c r="G166" s="480" t="str">
        <f t="shared" si="2"/>
        <v/>
      </c>
      <c r="H166" s="82"/>
      <c r="I166" s="82"/>
      <c r="J166" s="75"/>
      <c r="K166"/>
      <c r="L166" s="78"/>
      <c r="P166" s="411"/>
      <c r="W166" s="78"/>
    </row>
    <row r="167" spans="1:23" x14ac:dyDescent="0.25">
      <c r="A167" s="1">
        <v>136</v>
      </c>
      <c r="B167" s="60"/>
      <c r="C167" s="75"/>
      <c r="D167" s="82"/>
      <c r="E167" s="480" t="str">
        <f>IF($D167="","",VLOOKUP($D167,LookupTables!$B$3:$D$172,2,0))</f>
        <v/>
      </c>
      <c r="F167" s="82"/>
      <c r="G167" s="480" t="str">
        <f t="shared" si="2"/>
        <v/>
      </c>
      <c r="H167" s="82"/>
      <c r="I167" s="82"/>
      <c r="J167" s="75"/>
      <c r="K167"/>
      <c r="L167" s="78"/>
      <c r="P167" s="411"/>
      <c r="W167" s="78"/>
    </row>
    <row r="168" spans="1:23" x14ac:dyDescent="0.25">
      <c r="A168" s="1">
        <v>137</v>
      </c>
      <c r="B168" s="60"/>
      <c r="C168" s="75"/>
      <c r="D168" s="82"/>
      <c r="E168" s="480" t="str">
        <f>IF($D168="","",VLOOKUP($D168,LookupTables!$B$3:$D$172,2,0))</f>
        <v/>
      </c>
      <c r="F168" s="82"/>
      <c r="G168" s="480" t="str">
        <f t="shared" si="2"/>
        <v/>
      </c>
      <c r="H168" s="82"/>
      <c r="I168" s="82"/>
      <c r="J168" s="75"/>
      <c r="K168"/>
      <c r="L168" s="78"/>
      <c r="P168" s="411"/>
      <c r="W168" s="78"/>
    </row>
    <row r="169" spans="1:23" x14ac:dyDescent="0.25">
      <c r="A169" s="1">
        <v>138</v>
      </c>
      <c r="B169" s="60"/>
      <c r="C169" s="75"/>
      <c r="D169" s="82"/>
      <c r="E169" s="480" t="str">
        <f>IF($D169="","",VLOOKUP($D169,LookupTables!$B$3:$D$172,2,0))</f>
        <v/>
      </c>
      <c r="F169" s="82"/>
      <c r="G169" s="480" t="str">
        <f t="shared" si="2"/>
        <v/>
      </c>
      <c r="H169" s="82"/>
      <c r="I169" s="82"/>
      <c r="J169" s="75"/>
      <c r="K169"/>
      <c r="L169" s="78"/>
      <c r="P169" s="411"/>
      <c r="W169" s="78"/>
    </row>
    <row r="170" spans="1:23" x14ac:dyDescent="0.25">
      <c r="A170" s="1">
        <v>139</v>
      </c>
      <c r="B170" s="60"/>
      <c r="C170" s="75"/>
      <c r="D170" s="82"/>
      <c r="E170" s="480" t="str">
        <f>IF($D170="","",VLOOKUP($D170,LookupTables!$B$3:$D$172,2,0))</f>
        <v/>
      </c>
      <c r="F170" s="82"/>
      <c r="G170" s="480" t="str">
        <f t="shared" si="2"/>
        <v/>
      </c>
      <c r="H170" s="82"/>
      <c r="I170" s="82"/>
      <c r="J170" s="75"/>
      <c r="K170"/>
      <c r="L170" s="78"/>
      <c r="P170" s="411"/>
      <c r="W170" s="78"/>
    </row>
    <row r="171" spans="1:23" x14ac:dyDescent="0.25">
      <c r="A171" s="1">
        <v>140</v>
      </c>
      <c r="B171" s="60"/>
      <c r="C171" s="75"/>
      <c r="D171" s="82"/>
      <c r="E171" s="480" t="str">
        <f>IF($D171="","",VLOOKUP($D171,LookupTables!$B$3:$D$172,2,0))</f>
        <v/>
      </c>
      <c r="F171" s="82"/>
      <c r="G171" s="480" t="str">
        <f t="shared" si="2"/>
        <v/>
      </c>
      <c r="H171" s="82"/>
      <c r="I171" s="82"/>
      <c r="J171" s="75"/>
      <c r="K171"/>
      <c r="L171" s="78"/>
      <c r="P171" s="411"/>
      <c r="W171" s="78"/>
    </row>
    <row r="172" spans="1:23" x14ac:dyDescent="0.25">
      <c r="A172" s="1">
        <v>141</v>
      </c>
      <c r="B172" s="60"/>
      <c r="C172" s="75"/>
      <c r="D172" s="82"/>
      <c r="E172" s="480" t="str">
        <f>IF($D172="","",VLOOKUP($D172,LookupTables!$B$3:$D$172,2,0))</f>
        <v/>
      </c>
      <c r="F172" s="82"/>
      <c r="G172" s="480" t="str">
        <f t="shared" si="2"/>
        <v/>
      </c>
      <c r="H172" s="82"/>
      <c r="I172" s="82"/>
      <c r="J172" s="75"/>
      <c r="K172"/>
      <c r="L172" s="78"/>
      <c r="P172" s="411"/>
      <c r="W172" s="78"/>
    </row>
    <row r="173" spans="1:23" x14ac:dyDescent="0.25">
      <c r="A173" s="1">
        <v>142</v>
      </c>
      <c r="B173" s="60"/>
      <c r="C173" s="75"/>
      <c r="D173" s="82"/>
      <c r="E173" s="480" t="str">
        <f>IF($D173="","",VLOOKUP($D173,LookupTables!$B$3:$D$172,2,0))</f>
        <v/>
      </c>
      <c r="F173" s="82"/>
      <c r="G173" s="480" t="str">
        <f t="shared" si="2"/>
        <v/>
      </c>
      <c r="H173" s="82"/>
      <c r="I173" s="82"/>
      <c r="J173" s="75"/>
      <c r="K173"/>
      <c r="L173" s="78"/>
      <c r="P173" s="411"/>
      <c r="W173" s="78"/>
    </row>
    <row r="174" spans="1:23" x14ac:dyDescent="0.25">
      <c r="A174" s="1">
        <v>143</v>
      </c>
      <c r="B174" s="60"/>
      <c r="C174" s="75"/>
      <c r="D174" s="82"/>
      <c r="E174" s="480" t="str">
        <f>IF($D174="","",VLOOKUP($D174,LookupTables!$B$3:$D$172,2,0))</f>
        <v/>
      </c>
      <c r="F174" s="82"/>
      <c r="G174" s="480" t="str">
        <f t="shared" si="2"/>
        <v/>
      </c>
      <c r="H174" s="82"/>
      <c r="I174" s="82"/>
      <c r="J174" s="75"/>
      <c r="K174"/>
      <c r="L174" s="78"/>
      <c r="P174" s="411"/>
      <c r="W174" s="78"/>
    </row>
    <row r="175" spans="1:23" x14ac:dyDescent="0.25">
      <c r="A175" s="1">
        <v>144</v>
      </c>
      <c r="B175" s="60"/>
      <c r="C175" s="75"/>
      <c r="D175" s="82"/>
      <c r="E175" s="480" t="str">
        <f>IF($D175="","",VLOOKUP($D175,LookupTables!$B$3:$D$172,2,0))</f>
        <v/>
      </c>
      <c r="F175" s="82"/>
      <c r="G175" s="480" t="str">
        <f t="shared" si="2"/>
        <v/>
      </c>
      <c r="H175" s="82"/>
      <c r="I175" s="82"/>
      <c r="J175" s="75"/>
      <c r="K175"/>
      <c r="L175" s="78"/>
      <c r="P175" s="411"/>
      <c r="W175" s="78"/>
    </row>
    <row r="176" spans="1:23" x14ac:dyDescent="0.25">
      <c r="A176" s="1">
        <v>145</v>
      </c>
      <c r="B176" s="60"/>
      <c r="C176" s="75"/>
      <c r="D176" s="82"/>
      <c r="E176" s="480" t="str">
        <f>IF($D176="","",VLOOKUP($D176,LookupTables!$B$3:$D$172,2,0))</f>
        <v/>
      </c>
      <c r="F176" s="82"/>
      <c r="G176" s="480" t="str">
        <f t="shared" si="2"/>
        <v/>
      </c>
      <c r="H176" s="82"/>
      <c r="I176" s="82"/>
      <c r="J176" s="75"/>
      <c r="K176"/>
      <c r="L176" s="78"/>
      <c r="P176" s="411"/>
      <c r="W176" s="78"/>
    </row>
    <row r="177" spans="1:23" x14ac:dyDescent="0.25">
      <c r="A177" s="1">
        <v>146</v>
      </c>
      <c r="B177" s="60"/>
      <c r="C177" s="75"/>
      <c r="D177" s="82"/>
      <c r="E177" s="480" t="str">
        <f>IF($D177="","",VLOOKUP($D177,LookupTables!$B$3:$D$172,2,0))</f>
        <v/>
      </c>
      <c r="F177" s="82"/>
      <c r="G177" s="480" t="str">
        <f t="shared" si="2"/>
        <v/>
      </c>
      <c r="H177" s="82"/>
      <c r="I177" s="82"/>
      <c r="J177" s="75"/>
      <c r="K177"/>
      <c r="L177" s="78"/>
      <c r="P177" s="411"/>
      <c r="W177" s="78"/>
    </row>
    <row r="178" spans="1:23" x14ac:dyDescent="0.25">
      <c r="A178" s="1">
        <v>147</v>
      </c>
      <c r="B178" s="60"/>
      <c r="C178" s="75"/>
      <c r="D178" s="82"/>
      <c r="E178" s="480" t="str">
        <f>IF($D178="","",VLOOKUP($D178,LookupTables!$B$3:$D$172,2,0))</f>
        <v/>
      </c>
      <c r="F178" s="82"/>
      <c r="G178" s="480" t="str">
        <f t="shared" si="2"/>
        <v/>
      </c>
      <c r="H178" s="82"/>
      <c r="I178" s="82"/>
      <c r="J178" s="75"/>
      <c r="K178"/>
      <c r="L178" s="78"/>
      <c r="P178" s="411"/>
      <c r="W178" s="78"/>
    </row>
    <row r="179" spans="1:23" x14ac:dyDescent="0.25">
      <c r="A179" s="1">
        <v>148</v>
      </c>
      <c r="B179" s="60"/>
      <c r="C179" s="75"/>
      <c r="D179" s="82"/>
      <c r="E179" s="480" t="str">
        <f>IF($D179="","",VLOOKUP($D179,LookupTables!$B$3:$D$172,2,0))</f>
        <v/>
      </c>
      <c r="F179" s="82"/>
      <c r="G179" s="480" t="str">
        <f t="shared" si="2"/>
        <v/>
      </c>
      <c r="H179" s="82"/>
      <c r="I179" s="82"/>
      <c r="J179" s="75"/>
      <c r="K179"/>
      <c r="L179" s="78"/>
      <c r="P179" s="411"/>
      <c r="W179" s="78"/>
    </row>
    <row r="180" spans="1:23" x14ac:dyDescent="0.25">
      <c r="A180" s="1">
        <v>149</v>
      </c>
      <c r="B180" s="60"/>
      <c r="C180" s="75"/>
      <c r="D180" s="82"/>
      <c r="E180" s="480" t="str">
        <f>IF($D180="","",VLOOKUP($D180,LookupTables!$B$3:$D$172,2,0))</f>
        <v/>
      </c>
      <c r="F180" s="82"/>
      <c r="G180" s="480" t="str">
        <f t="shared" si="2"/>
        <v/>
      </c>
      <c r="H180" s="82"/>
      <c r="I180" s="82"/>
      <c r="J180" s="75"/>
      <c r="K180"/>
      <c r="L180" s="78"/>
      <c r="P180" s="411"/>
      <c r="W180" s="78"/>
    </row>
    <row r="181" spans="1:23" x14ac:dyDescent="0.25">
      <c r="A181" s="1">
        <v>150</v>
      </c>
      <c r="B181" s="60"/>
      <c r="C181" s="75"/>
      <c r="D181" s="82"/>
      <c r="E181" s="480" t="str">
        <f>IF($D181="","",VLOOKUP($D181,LookupTables!$B$3:$D$172,2,0))</f>
        <v/>
      </c>
      <c r="F181" s="82"/>
      <c r="G181" s="480" t="str">
        <f t="shared" si="2"/>
        <v/>
      </c>
      <c r="H181" s="82"/>
      <c r="I181" s="82"/>
      <c r="J181" s="75"/>
      <c r="K181"/>
      <c r="L181" s="78"/>
      <c r="P181" s="411"/>
      <c r="W181" s="78"/>
    </row>
    <row r="183" spans="1:23" x14ac:dyDescent="0.25">
      <c r="B183" s="71" t="s">
        <v>1564</v>
      </c>
    </row>
    <row r="184" spans="1:23" x14ac:dyDescent="0.25">
      <c r="B184" s="522" t="s">
        <v>1565</v>
      </c>
    </row>
  </sheetData>
  <sheetProtection algorithmName="SHA-512" hashValue="Vg872S2gWmYdTRBRMW8shYv37N5wRmCXQDL3LMkhqnXMZWjfgySKE7nVfPMNhtdVXNxCw+XuJODYlXWquS412w==" saltValue="VixMManVbS/LHaRJgkzuiw==" spinCount="100000" sheet="1" objects="1" scenarios="1" formatCells="0" formatColumns="0" formatRows="0"/>
  <mergeCells count="2">
    <mergeCell ref="C4:D4"/>
    <mergeCell ref="B24:C24"/>
  </mergeCells>
  <conditionalFormatting sqref="B5 C7:C12 C15:F22 D25:D28">
    <cfRule type="cellIs" dxfId="21" priority="3" operator="greaterThan">
      <formula>$M$83</formula>
    </cfRule>
  </conditionalFormatting>
  <conditionalFormatting sqref="B32:B181">
    <cfRule type="cellIs" dxfId="20" priority="66" operator="lessThan">
      <formula>C32</formula>
    </cfRule>
  </conditionalFormatting>
  <conditionalFormatting sqref="B32:J181">
    <cfRule type="expression" dxfId="19" priority="88">
      <formula>$B32&lt;&gt;""</formula>
    </cfRule>
    <cfRule type="cellIs" dxfId="18" priority="89" operator="greaterThan">
      <formula>$M$83</formula>
    </cfRule>
  </conditionalFormatting>
  <conditionalFormatting sqref="C4:C5">
    <cfRule type="cellIs" dxfId="17" priority="80" operator="greaterThan">
      <formula>$M$83</formula>
    </cfRule>
  </conditionalFormatting>
  <dataValidations xWindow="234" yWindow="554" count="3">
    <dataValidation allowBlank="1" showInputMessage="1" sqref="O66:O67 O47:O48" xr:uid="{00000000-0002-0000-0500-000000000000}"/>
    <dataValidation type="list" allowBlank="1" showInputMessage="1" showErrorMessage="1" sqref="B32:B181" xr:uid="{00000000-0002-0000-0500-000008000000}">
      <formula1>$W$86:$W$87</formula1>
    </dataValidation>
    <dataValidation type="list" allowBlank="1" showInputMessage="1" showErrorMessage="1" sqref="I32:I181" xr:uid="{DFF66067-690F-498F-BAF9-7904E0BE4F45}">
      <formula1>"Yes, No"</formula1>
    </dataValidation>
  </dataValidations>
  <hyperlinks>
    <hyperlink ref="B184" r:id="rId1" xr:uid="{3870A47C-2F85-4DA3-9C9C-981E4F28DC16}"/>
  </hyperlinks>
  <pageMargins left="0.2" right="0.2" top="0.5" bottom="0.5" header="0.3" footer="0.3"/>
  <pageSetup scale="64" fitToHeight="0" orientation="landscape" horizontalDpi="300" verticalDpi="300" r:id="rId2"/>
  <headerFooter>
    <oddFooter>&amp;LNIST Office of Weights and Measures&amp;CPage &amp;P of &amp;N</oddFooter>
  </headerFooter>
  <rowBreaks count="1" manualBreakCount="1">
    <brk id="51" min="1" max="9" man="1"/>
  </rowBreaks>
  <legacyDrawing r:id="rId3"/>
  <extLst>
    <ext xmlns:x14="http://schemas.microsoft.com/office/spreadsheetml/2009/9/main" uri="{CCE6A557-97BC-4b89-ADB6-D9C93CAAB3DF}">
      <x14:dataValidations xmlns:xm="http://schemas.microsoft.com/office/excel/2006/main" xWindow="234" yWindow="554" count="9">
        <x14:dataValidation type="list" allowBlank="1" showInputMessage="1" showErrorMessage="1" xr:uid="{00000000-0002-0000-0500-000001000000}">
          <x14:formula1>
            <xm:f>LookupTables!$Y$3:$Y$10</xm:f>
          </x14:formula1>
          <xm:sqref>C7</xm:sqref>
        </x14:dataValidation>
        <x14:dataValidation type="list" allowBlank="1" showInputMessage="1" showErrorMessage="1" xr:uid="{00000000-0002-0000-0500-000002000000}">
          <x14:formula1>
            <xm:f>LookupTables!$Y$35:$Y$65</xm:f>
          </x14:formula1>
          <xm:sqref>C8</xm:sqref>
        </x14:dataValidation>
        <x14:dataValidation type="list" allowBlank="1" showInputMessage="1" showErrorMessage="1" xr:uid="{00000000-0002-0000-0500-000003000000}">
          <x14:formula1>
            <xm:f>LookupTables!$AA$3:$AA$20</xm:f>
          </x14:formula1>
          <xm:sqref>C9</xm:sqref>
        </x14:dataValidation>
        <x14:dataValidation type="list" allowBlank="1" showInputMessage="1" showErrorMessage="1" xr:uid="{00000000-0002-0000-0500-000006000000}">
          <x14:formula1>
            <xm:f>LookupTables!$Y$25:$Y$27</xm:f>
          </x14:formula1>
          <xm:sqref>C10</xm:sqref>
        </x14:dataValidation>
        <x14:dataValidation type="list" allowBlank="1" showInputMessage="1" showErrorMessage="1" xr:uid="{00000000-0002-0000-0500-000007000000}">
          <x14:formula1>
            <xm:f>LookupTables!$Y$15:$Y$22</xm:f>
          </x14:formula1>
          <xm:sqref>C11</xm:sqref>
        </x14:dataValidation>
        <x14:dataValidation type="list" allowBlank="1" showInputMessage="1" showErrorMessage="1" error="If you would like to use  a person that is not on the list, you must add them to the list in cells M91 through P91, then click the drop down arrow again to select the added person." prompt="Select the regional coordinator from the drop down list. " xr:uid="{00000000-0002-0000-0500-000004000000}">
          <x14:formula1>
            <xm:f>LookupTables!$AD$3:$AD$13</xm:f>
          </x14:formula1>
          <xm:sqref>C19</xm:sqref>
        </x14:dataValidation>
        <x14:dataValidation type="list" allowBlank="1" showInputMessage="1" showErrorMessage="1" error="If you would like to use  a person that is not on the list, you must add them to the list in cells M95 through P95, then click the drop down arrow again to select the added person." prompt="Select the NIST Point of Contact for this PT." xr:uid="{00000000-0002-0000-0500-000005000000}">
          <x14:formula1>
            <xm:f>LookupTables!$AD$18:$AD$25</xm:f>
          </x14:formula1>
          <xm:sqref>C20:C21</xm:sqref>
        </x14:dataValidation>
        <x14:dataValidation type="list" allowBlank="1" showInputMessage="1" showErrorMessage="1" xr:uid="{2F668640-54C9-4349-A9C5-7CC6E8CE593B}">
          <x14:formula1>
            <xm:f>LookupTables!$B$3:$B$172</xm:f>
          </x14:formula1>
          <xm:sqref>D32:D181</xm:sqref>
        </x14:dataValidation>
        <x14:dataValidation type="list" allowBlank="1" showInputMessage="1" showErrorMessage="1" xr:uid="{8945BD0B-A843-4DA3-A8B4-4EF375210B16}">
          <x14:formula1>
            <xm:f>LookupTables!$AA$25:$AA$47</xm:f>
          </x14:formula1>
          <xm:sqref>H32:H181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61"/>
    <pageSetUpPr fitToPage="1"/>
  </sheetPr>
  <dimension ref="A1:O182"/>
  <sheetViews>
    <sheetView zoomScale="115" zoomScaleNormal="115" zoomScaleSheetLayoutView="80" workbookViewId="0"/>
  </sheetViews>
  <sheetFormatPr defaultRowHeight="15" x14ac:dyDescent="0.25"/>
  <cols>
    <col min="1" max="1" width="29.140625" customWidth="1"/>
    <col min="2" max="2" width="3.42578125" customWidth="1"/>
    <col min="7" max="7" width="3.42578125" customWidth="1"/>
    <col min="8" max="8" width="9.140625" customWidth="1"/>
    <col min="10" max="10" width="38" customWidth="1"/>
    <col min="12" max="12" width="9.140625" customWidth="1"/>
  </cols>
  <sheetData>
    <row r="1" spans="1:11" ht="21" x14ac:dyDescent="0.35">
      <c r="A1" s="26" t="s">
        <v>93</v>
      </c>
    </row>
    <row r="2" spans="1:11" ht="21" x14ac:dyDescent="0.35">
      <c r="A2" s="26" t="s">
        <v>189</v>
      </c>
    </row>
    <row r="4" spans="1:11" x14ac:dyDescent="0.25">
      <c r="A4" s="9" t="s">
        <v>190</v>
      </c>
      <c r="B4" s="575" t="str">
        <f>IF('P1; Organize the PT'!C4="","",'P1; Organize the PT'!C4)</f>
        <v>----</v>
      </c>
      <c r="C4" s="575"/>
      <c r="D4" s="575"/>
      <c r="E4" s="575"/>
      <c r="F4" s="575"/>
    </row>
    <row r="5" spans="1:11" x14ac:dyDescent="0.25">
      <c r="A5" s="9" t="s">
        <v>102</v>
      </c>
      <c r="B5" s="575" t="str">
        <f>IF('P1; Organize the PT'!C12="","",'P1; Organize the PT'!C12)</f>
        <v/>
      </c>
      <c r="C5" s="575"/>
      <c r="D5" s="575"/>
      <c r="E5" s="575"/>
      <c r="F5" s="575"/>
    </row>
    <row r="6" spans="1:11" x14ac:dyDescent="0.25">
      <c r="A6" s="9" t="s">
        <v>191</v>
      </c>
      <c r="B6" s="575" t="str">
        <f>IF('P1; Organize the PT'!C15="","",'P1; Organize the PT'!C15)</f>
        <v/>
      </c>
      <c r="C6" s="575"/>
      <c r="D6" s="575"/>
      <c r="E6" s="575"/>
      <c r="F6" s="575"/>
    </row>
    <row r="8" spans="1:11" ht="60.75" customHeight="1" x14ac:dyDescent="0.25">
      <c r="A8" s="34" t="s">
        <v>192</v>
      </c>
      <c r="B8" s="576" t="s">
        <v>193</v>
      </c>
      <c r="C8" s="577"/>
      <c r="D8" s="577"/>
      <c r="E8" s="577"/>
      <c r="F8" s="577"/>
      <c r="G8" s="577"/>
      <c r="H8" s="577"/>
      <c r="I8" s="577"/>
      <c r="J8" s="578"/>
    </row>
    <row r="10" spans="1:11" x14ac:dyDescent="0.25">
      <c r="A10" s="148" t="s">
        <v>194</v>
      </c>
      <c r="B10" s="17"/>
    </row>
    <row r="11" spans="1:11" ht="3.75" customHeight="1" x14ac:dyDescent="0.25">
      <c r="B11" s="16"/>
    </row>
    <row r="12" spans="1:11" x14ac:dyDescent="0.25">
      <c r="B12" s="60" t="s">
        <v>195</v>
      </c>
      <c r="C12" t="s">
        <v>196</v>
      </c>
    </row>
    <row r="13" spans="1:11" ht="3.75" customHeight="1" x14ac:dyDescent="0.25">
      <c r="B13" s="15"/>
    </row>
    <row r="14" spans="1:11" x14ac:dyDescent="0.25">
      <c r="B14" s="60" t="s">
        <v>195</v>
      </c>
      <c r="C14" t="s">
        <v>197</v>
      </c>
    </row>
    <row r="15" spans="1:11" ht="3.75" customHeight="1" x14ac:dyDescent="0.25">
      <c r="B15" s="15"/>
    </row>
    <row r="16" spans="1:11" x14ac:dyDescent="0.25">
      <c r="B16" s="60"/>
      <c r="C16" t="s">
        <v>198</v>
      </c>
      <c r="K16" s="78"/>
    </row>
    <row r="17" spans="1:11" ht="3.75" customHeight="1" x14ac:dyDescent="0.25">
      <c r="B17" s="15"/>
      <c r="K17" s="78"/>
    </row>
    <row r="18" spans="1:11" x14ac:dyDescent="0.25">
      <c r="B18" s="60"/>
      <c r="C18" s="77" t="s">
        <v>199</v>
      </c>
      <c r="K18" s="79"/>
    </row>
    <row r="19" spans="1:11" ht="3.75" customHeight="1" x14ac:dyDescent="0.25">
      <c r="B19" s="15"/>
      <c r="K19" s="78"/>
    </row>
    <row r="20" spans="1:11" x14ac:dyDescent="0.25">
      <c r="B20" s="60"/>
      <c r="C20" s="77" t="s">
        <v>200</v>
      </c>
      <c r="K20" s="79"/>
    </row>
    <row r="21" spans="1:11" ht="3.75" customHeight="1" x14ac:dyDescent="0.25">
      <c r="B21" s="15"/>
      <c r="K21" s="78"/>
    </row>
    <row r="22" spans="1:11" x14ac:dyDescent="0.25">
      <c r="B22" s="60"/>
      <c r="C22" t="s">
        <v>201</v>
      </c>
      <c r="K22" s="78"/>
    </row>
    <row r="23" spans="1:11" ht="3.75" customHeight="1" x14ac:dyDescent="0.25">
      <c r="B23" s="15"/>
    </row>
    <row r="24" spans="1:11" x14ac:dyDescent="0.25">
      <c r="B24" s="60"/>
      <c r="C24" t="s">
        <v>202</v>
      </c>
    </row>
    <row r="25" spans="1:11" ht="3.75" customHeight="1" x14ac:dyDescent="0.25">
      <c r="B25" s="15"/>
    </row>
    <row r="26" spans="1:11" x14ac:dyDescent="0.25">
      <c r="B26" s="60"/>
      <c r="C26" t="s">
        <v>203</v>
      </c>
    </row>
    <row r="27" spans="1:11" ht="3.75" customHeight="1" x14ac:dyDescent="0.25">
      <c r="B27" s="15"/>
    </row>
    <row r="28" spans="1:11" x14ac:dyDescent="0.25">
      <c r="B28" s="60"/>
      <c r="C28" t="s">
        <v>204</v>
      </c>
    </row>
    <row r="29" spans="1:11" ht="3.75" customHeight="1" x14ac:dyDescent="0.25">
      <c r="B29" s="33"/>
    </row>
    <row r="30" spans="1:11" x14ac:dyDescent="0.25">
      <c r="A30" s="25" t="s">
        <v>205</v>
      </c>
      <c r="B30" s="576"/>
      <c r="C30" s="577"/>
      <c r="D30" s="577"/>
      <c r="E30" s="577"/>
      <c r="F30" s="577"/>
      <c r="G30" s="577"/>
      <c r="H30" s="577"/>
      <c r="I30" s="577"/>
      <c r="J30" s="578"/>
    </row>
    <row r="31" spans="1:11" ht="3.75" customHeight="1" x14ac:dyDescent="0.25">
      <c r="A31" s="25"/>
      <c r="B31" s="20"/>
    </row>
    <row r="32" spans="1:11" x14ac:dyDescent="0.25">
      <c r="A32" s="25" t="s">
        <v>205</v>
      </c>
      <c r="B32" s="576"/>
      <c r="C32" s="577"/>
      <c r="D32" s="577"/>
      <c r="E32" s="577"/>
      <c r="F32" s="577"/>
      <c r="G32" s="577"/>
      <c r="H32" s="577"/>
      <c r="I32" s="577"/>
      <c r="J32" s="578"/>
    </row>
    <row r="33" spans="1:10" ht="3.75" customHeight="1" x14ac:dyDescent="0.25">
      <c r="A33" s="25"/>
      <c r="B33" s="20"/>
    </row>
    <row r="34" spans="1:10" x14ac:dyDescent="0.25">
      <c r="A34" s="25" t="s">
        <v>205</v>
      </c>
      <c r="B34" s="576"/>
      <c r="C34" s="577"/>
      <c r="D34" s="577"/>
      <c r="E34" s="577"/>
      <c r="F34" s="577"/>
      <c r="G34" s="577"/>
      <c r="H34" s="577"/>
      <c r="I34" s="577"/>
      <c r="J34" s="578"/>
    </row>
    <row r="37" spans="1:10" ht="30.6" customHeight="1" x14ac:dyDescent="0.25">
      <c r="A37" s="149" t="s">
        <v>206</v>
      </c>
      <c r="B37" s="581" t="s">
        <v>207</v>
      </c>
      <c r="C37" s="582"/>
      <c r="D37" s="582"/>
      <c r="E37" s="582"/>
      <c r="F37" s="582"/>
      <c r="G37" s="582"/>
      <c r="H37" s="582"/>
      <c r="I37" s="582"/>
      <c r="J37" s="582"/>
    </row>
    <row r="38" spans="1:10" ht="3.75" customHeight="1" x14ac:dyDescent="0.25"/>
    <row r="39" spans="1:10" x14ac:dyDescent="0.25">
      <c r="B39" s="60" t="s">
        <v>195</v>
      </c>
      <c r="C39" t="s">
        <v>208</v>
      </c>
    </row>
    <row r="40" spans="1:10" ht="3.75" customHeight="1" x14ac:dyDescent="0.25">
      <c r="B40" s="15"/>
    </row>
    <row r="41" spans="1:10" ht="18" x14ac:dyDescent="0.35">
      <c r="B41" s="60" t="s">
        <v>195</v>
      </c>
      <c r="C41" t="s">
        <v>858</v>
      </c>
    </row>
    <row r="42" spans="1:10" ht="3.75" customHeight="1" x14ac:dyDescent="0.25">
      <c r="B42" s="15"/>
    </row>
    <row r="43" spans="1:10" ht="18" x14ac:dyDescent="0.35">
      <c r="B43" s="60" t="s">
        <v>1415</v>
      </c>
      <c r="C43" t="s">
        <v>859</v>
      </c>
    </row>
    <row r="44" spans="1:10" ht="3.75" customHeight="1" x14ac:dyDescent="0.25">
      <c r="B44" s="15"/>
    </row>
    <row r="45" spans="1:10" x14ac:dyDescent="0.25">
      <c r="B45" s="60"/>
      <c r="C45" t="s">
        <v>209</v>
      </c>
    </row>
    <row r="46" spans="1:10" ht="3.75" customHeight="1" x14ac:dyDescent="0.25">
      <c r="B46" s="15"/>
    </row>
    <row r="47" spans="1:10" x14ac:dyDescent="0.25">
      <c r="B47" s="60"/>
      <c r="C47" t="s">
        <v>210</v>
      </c>
    </row>
    <row r="48" spans="1:10" ht="3.75" customHeight="1" x14ac:dyDescent="0.25">
      <c r="B48" s="15"/>
    </row>
    <row r="49" spans="1:10" x14ac:dyDescent="0.25">
      <c r="B49" s="60"/>
      <c r="C49" t="s">
        <v>211</v>
      </c>
    </row>
    <row r="50" spans="1:10" ht="3.75" customHeight="1" x14ac:dyDescent="0.25">
      <c r="B50" s="15"/>
    </row>
    <row r="51" spans="1:10" x14ac:dyDescent="0.25">
      <c r="B51" s="60"/>
      <c r="C51" t="s">
        <v>212</v>
      </c>
    </row>
    <row r="52" spans="1:10" ht="3.75" customHeight="1" x14ac:dyDescent="0.25">
      <c r="B52" s="33"/>
    </row>
    <row r="53" spans="1:10" x14ac:dyDescent="0.25">
      <c r="A53" s="25" t="s">
        <v>205</v>
      </c>
      <c r="B53" s="576"/>
      <c r="C53" s="577"/>
      <c r="D53" s="577"/>
      <c r="E53" s="577"/>
      <c r="F53" s="577"/>
      <c r="G53" s="577"/>
      <c r="H53" s="577"/>
      <c r="I53" s="577"/>
      <c r="J53" s="578"/>
    </row>
    <row r="54" spans="1:10" ht="3.75" customHeight="1" x14ac:dyDescent="0.25">
      <c r="A54" s="25"/>
      <c r="B54" s="20"/>
    </row>
    <row r="55" spans="1:10" x14ac:dyDescent="0.25">
      <c r="A55" s="25" t="s">
        <v>205</v>
      </c>
      <c r="B55" s="576"/>
      <c r="C55" s="577"/>
      <c r="D55" s="577"/>
      <c r="E55" s="577"/>
      <c r="F55" s="577"/>
      <c r="G55" s="577"/>
      <c r="H55" s="577"/>
      <c r="I55" s="577"/>
      <c r="J55" s="578"/>
    </row>
    <row r="56" spans="1:10" ht="3.75" customHeight="1" x14ac:dyDescent="0.25">
      <c r="A56" s="25"/>
      <c r="B56" s="20"/>
    </row>
    <row r="57" spans="1:10" x14ac:dyDescent="0.25">
      <c r="A57" s="25" t="s">
        <v>205</v>
      </c>
      <c r="B57" s="576"/>
      <c r="C57" s="577"/>
      <c r="D57" s="577"/>
      <c r="E57" s="577"/>
      <c r="F57" s="577"/>
      <c r="G57" s="577"/>
      <c r="H57" s="577"/>
      <c r="I57" s="577"/>
      <c r="J57" s="578"/>
    </row>
    <row r="60" spans="1:10" x14ac:dyDescent="0.25">
      <c r="A60" s="149" t="s">
        <v>213</v>
      </c>
      <c r="B60" s="579" t="s">
        <v>214</v>
      </c>
      <c r="C60" s="580"/>
      <c r="D60" s="580"/>
      <c r="E60" s="580"/>
      <c r="F60" s="580"/>
      <c r="G60" s="580"/>
      <c r="H60" s="580"/>
      <c r="I60" s="580"/>
      <c r="J60" s="212"/>
    </row>
    <row r="61" spans="1:10" ht="3.75" customHeight="1" x14ac:dyDescent="0.25">
      <c r="B61" s="16"/>
    </row>
    <row r="62" spans="1:10" x14ac:dyDescent="0.25">
      <c r="B62" s="60" t="s">
        <v>195</v>
      </c>
      <c r="C62" t="s">
        <v>215</v>
      </c>
    </row>
    <row r="63" spans="1:10" ht="3.75" customHeight="1" x14ac:dyDescent="0.25">
      <c r="B63" s="15"/>
    </row>
    <row r="64" spans="1:10" x14ac:dyDescent="0.25">
      <c r="B64" s="60"/>
      <c r="C64" t="s">
        <v>216</v>
      </c>
    </row>
    <row r="65" spans="1:11" ht="3.75" customHeight="1" x14ac:dyDescent="0.25">
      <c r="B65" s="15"/>
    </row>
    <row r="66" spans="1:11" x14ac:dyDescent="0.25">
      <c r="B66" s="60"/>
      <c r="C66" t="s">
        <v>217</v>
      </c>
    </row>
    <row r="67" spans="1:11" ht="3.75" customHeight="1" x14ac:dyDescent="0.25">
      <c r="B67" s="33"/>
    </row>
    <row r="68" spans="1:11" x14ac:dyDescent="0.25">
      <c r="B68" s="60"/>
      <c r="C68" t="s">
        <v>218</v>
      </c>
    </row>
    <row r="69" spans="1:11" ht="5.0999999999999996" customHeight="1" x14ac:dyDescent="0.25">
      <c r="B69" s="33"/>
    </row>
    <row r="70" spans="1:11" ht="44.25" customHeight="1" x14ac:dyDescent="0.25">
      <c r="A70" s="155" t="s">
        <v>219</v>
      </c>
      <c r="B70" s="576" t="s">
        <v>220</v>
      </c>
      <c r="C70" s="577"/>
      <c r="D70" s="577"/>
      <c r="E70" s="577"/>
      <c r="F70" s="577"/>
      <c r="G70" s="577"/>
      <c r="H70" s="577"/>
      <c r="I70" s="577"/>
      <c r="J70" s="578"/>
    </row>
    <row r="72" spans="1:11" x14ac:dyDescent="0.25">
      <c r="A72" s="156" t="s">
        <v>221</v>
      </c>
    </row>
    <row r="73" spans="1:11" x14ac:dyDescent="0.25">
      <c r="A73" s="606" t="s">
        <v>222</v>
      </c>
      <c r="B73" s="600"/>
      <c r="C73" s="601"/>
      <c r="D73" s="601"/>
      <c r="E73" s="601"/>
      <c r="F73" s="601"/>
      <c r="G73" s="601"/>
      <c r="H73" s="601"/>
      <c r="I73" s="601"/>
      <c r="J73" s="602"/>
      <c r="K73" s="302"/>
    </row>
    <row r="74" spans="1:11" x14ac:dyDescent="0.25">
      <c r="A74" s="607"/>
      <c r="B74" s="603"/>
      <c r="C74" s="604"/>
      <c r="D74" s="604"/>
      <c r="E74" s="604"/>
      <c r="F74" s="604"/>
      <c r="G74" s="604"/>
      <c r="H74" s="604"/>
      <c r="I74" s="604"/>
      <c r="J74" s="605"/>
      <c r="K74" s="302"/>
    </row>
    <row r="75" spans="1:11" x14ac:dyDescent="0.25">
      <c r="A75" s="607"/>
      <c r="B75" s="597"/>
      <c r="C75" s="598"/>
      <c r="D75" s="598"/>
      <c r="E75" s="598"/>
      <c r="F75" s="598"/>
      <c r="G75" s="598"/>
      <c r="H75" s="598"/>
      <c r="I75" s="598"/>
      <c r="J75" s="599"/>
      <c r="K75" s="302"/>
    </row>
    <row r="76" spans="1:11" x14ac:dyDescent="0.25">
      <c r="A76" s="608"/>
      <c r="B76" s="609"/>
      <c r="C76" s="610"/>
      <c r="D76" s="610"/>
      <c r="E76" s="610"/>
      <c r="F76" s="610"/>
      <c r="G76" s="610"/>
      <c r="H76" s="610"/>
      <c r="I76" s="610"/>
      <c r="J76" s="611"/>
      <c r="K76" s="302"/>
    </row>
    <row r="77" spans="1:11" ht="3.75" customHeight="1" x14ac:dyDescent="0.25">
      <c r="A77" s="3"/>
      <c r="B77" s="32"/>
      <c r="C77" s="36"/>
      <c r="D77" s="37"/>
      <c r="E77" s="37"/>
      <c r="F77" s="37"/>
      <c r="G77" s="37"/>
      <c r="H77" s="37"/>
      <c r="I77" s="37"/>
    </row>
    <row r="78" spans="1:11" ht="45" x14ac:dyDescent="0.25">
      <c r="A78" s="35" t="s">
        <v>223</v>
      </c>
      <c r="B78" s="576" t="s">
        <v>224</v>
      </c>
      <c r="C78" s="577"/>
      <c r="D78" s="577"/>
      <c r="E78" s="577"/>
      <c r="F78" s="577"/>
      <c r="G78" s="577"/>
      <c r="H78" s="577"/>
      <c r="I78" s="577"/>
      <c r="J78" s="578"/>
    </row>
    <row r="79" spans="1:11" ht="3.75" customHeight="1" x14ac:dyDescent="0.25">
      <c r="A79" s="3"/>
      <c r="B79" s="32"/>
      <c r="C79" s="36"/>
      <c r="D79" s="36"/>
      <c r="E79" s="36"/>
      <c r="F79" s="36"/>
      <c r="G79" s="36"/>
      <c r="H79" s="36"/>
      <c r="I79" s="36"/>
    </row>
    <row r="80" spans="1:11" ht="30" customHeight="1" x14ac:dyDescent="0.25">
      <c r="A80" s="35" t="s">
        <v>225</v>
      </c>
      <c r="B80" s="576" t="s">
        <v>226</v>
      </c>
      <c r="C80" s="577"/>
      <c r="D80" s="577"/>
      <c r="E80" s="577"/>
      <c r="F80" s="577"/>
      <c r="G80" s="577"/>
      <c r="H80" s="577"/>
      <c r="I80" s="577"/>
      <c r="J80" s="578"/>
    </row>
    <row r="81" spans="1:10" ht="3.75" customHeight="1" x14ac:dyDescent="0.25">
      <c r="B81" s="20"/>
      <c r="C81" s="24"/>
    </row>
    <row r="82" spans="1:10" ht="38.25" customHeight="1" x14ac:dyDescent="0.25">
      <c r="A82" s="35" t="s">
        <v>227</v>
      </c>
      <c r="B82" s="576" t="s">
        <v>228</v>
      </c>
      <c r="C82" s="577"/>
      <c r="D82" s="577"/>
      <c r="E82" s="577"/>
      <c r="F82" s="577"/>
      <c r="G82" s="577"/>
      <c r="H82" s="577"/>
      <c r="I82" s="577"/>
      <c r="J82" s="578"/>
    </row>
    <row r="83" spans="1:10" ht="3.75" customHeight="1" x14ac:dyDescent="0.25">
      <c r="A83" s="3"/>
      <c r="B83" s="32"/>
      <c r="C83" s="36"/>
      <c r="D83" s="36"/>
      <c r="E83" s="36"/>
      <c r="F83" s="36"/>
      <c r="G83" s="36"/>
      <c r="H83" s="36"/>
      <c r="I83" s="36"/>
    </row>
    <row r="84" spans="1:10" ht="45" customHeight="1" x14ac:dyDescent="0.25">
      <c r="A84" s="35" t="s">
        <v>229</v>
      </c>
      <c r="B84" s="576"/>
      <c r="C84" s="577"/>
      <c r="D84" s="577"/>
      <c r="E84" s="577"/>
      <c r="F84" s="577"/>
      <c r="G84" s="577"/>
      <c r="H84" s="577"/>
      <c r="I84" s="577"/>
      <c r="J84" s="578"/>
    </row>
    <row r="85" spans="1:10" ht="3.75" customHeight="1" x14ac:dyDescent="0.25">
      <c r="A85" s="3"/>
      <c r="B85" s="32"/>
      <c r="C85" s="36"/>
      <c r="D85" s="36"/>
      <c r="E85" s="36"/>
      <c r="F85" s="36"/>
      <c r="G85" s="36"/>
      <c r="H85" s="36"/>
      <c r="I85" s="36"/>
    </row>
    <row r="86" spans="1:10" ht="30" customHeight="1" x14ac:dyDescent="0.25">
      <c r="A86" s="35" t="s">
        <v>230</v>
      </c>
      <c r="B86" s="591"/>
      <c r="C86" s="592"/>
      <c r="D86" s="588" t="str">
        <f>IF(B86="","",VLOOKUP(B86,LookupTables!P2:Q70,2,FALSE))</f>
        <v/>
      </c>
      <c r="E86" s="589"/>
      <c r="F86" s="589"/>
      <c r="G86" s="589"/>
      <c r="H86" s="589"/>
      <c r="I86" s="589"/>
      <c r="J86" s="590"/>
    </row>
    <row r="87" spans="1:10" ht="3.75" customHeight="1" x14ac:dyDescent="0.25">
      <c r="A87" s="3"/>
      <c r="B87" s="32"/>
      <c r="C87" s="36"/>
      <c r="D87" s="36"/>
      <c r="E87" s="36"/>
      <c r="F87" s="36"/>
      <c r="G87" s="36"/>
      <c r="H87" s="36"/>
      <c r="I87" s="36"/>
    </row>
    <row r="88" spans="1:10" x14ac:dyDescent="0.25">
      <c r="A88" s="35" t="s">
        <v>231</v>
      </c>
      <c r="B88" s="586">
        <v>2</v>
      </c>
      <c r="C88" s="587"/>
      <c r="D88" t="s">
        <v>232</v>
      </c>
    </row>
    <row r="89" spans="1:10" ht="3.75" customHeight="1" x14ac:dyDescent="0.25">
      <c r="A89" s="3"/>
      <c r="B89" s="32"/>
      <c r="C89" s="36"/>
      <c r="D89" s="36"/>
      <c r="E89" s="36"/>
      <c r="F89" s="36"/>
      <c r="G89" s="36"/>
      <c r="H89" s="36"/>
      <c r="I89" s="36"/>
    </row>
    <row r="90" spans="1:10" ht="30" x14ac:dyDescent="0.25">
      <c r="A90" s="35" t="s">
        <v>233</v>
      </c>
      <c r="B90" s="612" t="s">
        <v>234</v>
      </c>
      <c r="C90" s="613"/>
    </row>
    <row r="91" spans="1:10" ht="3.75" customHeight="1" x14ac:dyDescent="0.25">
      <c r="A91" s="3"/>
      <c r="B91" s="32"/>
      <c r="C91" s="36"/>
      <c r="D91" s="37"/>
      <c r="E91" s="37"/>
      <c r="F91" s="37"/>
      <c r="G91" s="37"/>
      <c r="H91" s="37"/>
      <c r="I91" s="37"/>
    </row>
    <row r="92" spans="1:10" ht="27.75" customHeight="1" x14ac:dyDescent="0.25">
      <c r="A92" s="595" t="s">
        <v>235</v>
      </c>
      <c r="B92" s="576"/>
      <c r="C92" s="577"/>
      <c r="D92" s="577"/>
      <c r="E92" s="577"/>
      <c r="F92" s="577"/>
      <c r="G92" s="577"/>
      <c r="H92" s="577"/>
      <c r="I92" s="577"/>
      <c r="J92" s="578"/>
    </row>
    <row r="93" spans="1:10" ht="26.25" customHeight="1" x14ac:dyDescent="0.25">
      <c r="A93" s="596"/>
      <c r="B93" s="576"/>
      <c r="C93" s="577"/>
      <c r="D93" s="577"/>
      <c r="E93" s="577"/>
      <c r="F93" s="577"/>
      <c r="G93" s="577"/>
      <c r="H93" s="577"/>
      <c r="I93" s="577"/>
      <c r="J93" s="578"/>
    </row>
    <row r="94" spans="1:10" ht="3.75" customHeight="1" x14ac:dyDescent="0.25">
      <c r="A94" s="3"/>
      <c r="B94" s="32"/>
      <c r="C94" s="36"/>
      <c r="D94" s="37"/>
      <c r="E94" s="37"/>
      <c r="F94" s="37"/>
      <c r="G94" s="37"/>
      <c r="H94" s="37"/>
      <c r="I94" s="37"/>
    </row>
    <row r="95" spans="1:10" ht="39" customHeight="1" x14ac:dyDescent="0.25">
      <c r="A95" s="35" t="s">
        <v>236</v>
      </c>
      <c r="B95" s="593" t="s">
        <v>250</v>
      </c>
      <c r="C95" s="594"/>
    </row>
    <row r="96" spans="1:10" ht="3.75" customHeight="1" x14ac:dyDescent="0.25">
      <c r="A96" s="3"/>
      <c r="B96" s="32"/>
      <c r="C96" s="36"/>
      <c r="D96" s="37"/>
      <c r="E96" s="37"/>
      <c r="F96" s="37"/>
      <c r="G96" s="37"/>
      <c r="H96" s="37"/>
      <c r="I96" s="37"/>
    </row>
    <row r="97" spans="1:10" ht="62.25" customHeight="1" x14ac:dyDescent="0.25">
      <c r="A97" s="35" t="s">
        <v>237</v>
      </c>
      <c r="B97" s="576" t="s">
        <v>238</v>
      </c>
      <c r="C97" s="577"/>
      <c r="D97" s="577"/>
      <c r="E97" s="577"/>
      <c r="F97" s="577"/>
      <c r="G97" s="577"/>
      <c r="H97" s="577"/>
      <c r="I97" s="577"/>
      <c r="J97" s="578"/>
    </row>
    <row r="98" spans="1:10" ht="3.75" customHeight="1" x14ac:dyDescent="0.25">
      <c r="A98" s="3"/>
      <c r="B98" s="32"/>
      <c r="C98" s="36"/>
      <c r="D98" s="36"/>
      <c r="E98" s="36"/>
      <c r="F98" s="36"/>
      <c r="G98" s="36"/>
      <c r="H98" s="36"/>
      <c r="I98" s="36"/>
    </row>
    <row r="99" spans="1:10" ht="30" x14ac:dyDescent="0.25">
      <c r="A99" s="35" t="s">
        <v>239</v>
      </c>
      <c r="B99" s="576" t="s">
        <v>246</v>
      </c>
      <c r="C99" s="577"/>
      <c r="D99" s="577"/>
      <c r="E99" s="577"/>
      <c r="F99" s="577"/>
      <c r="G99" s="577"/>
      <c r="H99" s="577"/>
      <c r="I99" s="577"/>
      <c r="J99" s="578"/>
    </row>
    <row r="100" spans="1:10" ht="3.75" customHeight="1" x14ac:dyDescent="0.25">
      <c r="A100" s="3"/>
      <c r="B100" s="32"/>
      <c r="C100" s="36"/>
      <c r="D100" s="36"/>
      <c r="E100" s="36"/>
      <c r="F100" s="36"/>
      <c r="G100" s="36"/>
      <c r="H100" s="36"/>
      <c r="I100" s="36"/>
    </row>
    <row r="101" spans="1:10" ht="45.75" customHeight="1" x14ac:dyDescent="0.25">
      <c r="A101" s="35" t="s">
        <v>240</v>
      </c>
      <c r="B101" s="576" t="s">
        <v>241</v>
      </c>
      <c r="C101" s="577"/>
      <c r="D101" s="577"/>
      <c r="E101" s="577"/>
      <c r="F101" s="577"/>
      <c r="G101" s="577"/>
      <c r="H101" s="577"/>
      <c r="I101" s="577"/>
      <c r="J101" s="578"/>
    </row>
    <row r="102" spans="1:10" ht="3.75" customHeight="1" x14ac:dyDescent="0.25">
      <c r="A102" s="3"/>
      <c r="B102" s="32"/>
      <c r="C102" s="36"/>
      <c r="D102" s="36"/>
      <c r="E102" s="36"/>
      <c r="F102" s="36"/>
      <c r="G102" s="36"/>
      <c r="H102" s="36"/>
      <c r="I102" s="36"/>
    </row>
    <row r="103" spans="1:10" ht="45.75" customHeight="1" x14ac:dyDescent="0.25">
      <c r="A103" s="35" t="s">
        <v>1408</v>
      </c>
      <c r="B103" s="583" t="str">
        <f>CONCATENATE("Certificate file(s) submitted to the PT Analyst should be named as “PT-ID_Participant-ID_Cert-YYYYMMDD”. For Example:",  $B$4,"_",'P1; Organize the PT'!$G$32,"_","Cert-",20250623)</f>
        <v>Certificate file(s) submitted to the PT Analyst should be named as “PT-ID_Participant-ID_Cert-YYYYMMDD”. For Example:----__Cert-20250623</v>
      </c>
      <c r="C103" s="584"/>
      <c r="D103" s="584"/>
      <c r="E103" s="584"/>
      <c r="F103" s="584"/>
      <c r="G103" s="584"/>
      <c r="H103" s="584"/>
      <c r="I103" s="584"/>
      <c r="J103" s="585"/>
    </row>
    <row r="104" spans="1:10" ht="3.75" customHeight="1" x14ac:dyDescent="0.25">
      <c r="A104" s="3"/>
      <c r="B104" s="32"/>
      <c r="C104" s="36"/>
      <c r="D104" s="36"/>
      <c r="E104" s="36"/>
      <c r="F104" s="36"/>
      <c r="G104" s="36"/>
      <c r="H104" s="36"/>
      <c r="I104" s="36"/>
    </row>
    <row r="113" spans="10:15" s="204" customFormat="1" x14ac:dyDescent="0.25"/>
    <row r="114" spans="10:15" s="204" customFormat="1" x14ac:dyDescent="0.25">
      <c r="J114" s="310"/>
    </row>
    <row r="115" spans="10:15" s="204" customFormat="1" x14ac:dyDescent="0.25">
      <c r="J115" s="310"/>
    </row>
    <row r="116" spans="10:15" s="204" customFormat="1" x14ac:dyDescent="0.25">
      <c r="J116" s="310"/>
      <c r="L116" s="78"/>
      <c r="M116" s="81"/>
      <c r="O116" s="311"/>
    </row>
    <row r="117" spans="10:15" s="204" customFormat="1" x14ac:dyDescent="0.25">
      <c r="J117" s="310"/>
      <c r="O117" s="312"/>
    </row>
    <row r="118" spans="10:15" s="204" customFormat="1" x14ac:dyDescent="0.25">
      <c r="J118" s="310"/>
    </row>
    <row r="119" spans="10:15" s="204" customFormat="1" x14ac:dyDescent="0.25">
      <c r="J119" s="310"/>
    </row>
    <row r="120" spans="10:15" s="204" customFormat="1" x14ac:dyDescent="0.25">
      <c r="J120" s="310"/>
    </row>
    <row r="121" spans="10:15" s="204" customFormat="1" x14ac:dyDescent="0.25">
      <c r="J121" s="310"/>
    </row>
    <row r="122" spans="10:15" s="204" customFormat="1" x14ac:dyDescent="0.25">
      <c r="J122" s="310"/>
    </row>
    <row r="123" spans="10:15" s="204" customFormat="1" x14ac:dyDescent="0.25">
      <c r="J123" s="310"/>
    </row>
    <row r="124" spans="10:15" s="204" customFormat="1" x14ac:dyDescent="0.25">
      <c r="J124" s="310"/>
    </row>
    <row r="125" spans="10:15" s="204" customFormat="1" x14ac:dyDescent="0.25">
      <c r="J125" s="310"/>
    </row>
    <row r="126" spans="10:15" s="204" customFormat="1" x14ac:dyDescent="0.25">
      <c r="J126" s="310"/>
    </row>
    <row r="127" spans="10:15" s="204" customFormat="1" x14ac:dyDescent="0.25">
      <c r="J127" s="310"/>
    </row>
    <row r="128" spans="10:15" s="204" customFormat="1" x14ac:dyDescent="0.25">
      <c r="J128" s="310"/>
    </row>
    <row r="129" spans="10:10" s="204" customFormat="1" x14ac:dyDescent="0.25">
      <c r="J129" s="310"/>
    </row>
    <row r="130" spans="10:10" s="204" customFormat="1" x14ac:dyDescent="0.25">
      <c r="J130" s="310"/>
    </row>
    <row r="131" spans="10:10" s="204" customFormat="1" x14ac:dyDescent="0.25">
      <c r="J131" s="310"/>
    </row>
    <row r="132" spans="10:10" s="204" customFormat="1" x14ac:dyDescent="0.25">
      <c r="J132" s="310"/>
    </row>
    <row r="133" spans="10:10" s="204" customFormat="1" x14ac:dyDescent="0.25">
      <c r="J133" s="310"/>
    </row>
    <row r="134" spans="10:10" s="204" customFormat="1" x14ac:dyDescent="0.25">
      <c r="J134" s="310"/>
    </row>
    <row r="135" spans="10:10" s="204" customFormat="1" x14ac:dyDescent="0.25">
      <c r="J135" s="310"/>
    </row>
    <row r="136" spans="10:10" s="204" customFormat="1" x14ac:dyDescent="0.25">
      <c r="J136" s="310"/>
    </row>
    <row r="137" spans="10:10" s="204" customFormat="1" x14ac:dyDescent="0.25">
      <c r="J137" s="310"/>
    </row>
    <row r="138" spans="10:10" s="204" customFormat="1" x14ac:dyDescent="0.25">
      <c r="J138" s="310"/>
    </row>
    <row r="139" spans="10:10" s="204" customFormat="1" x14ac:dyDescent="0.25">
      <c r="J139" s="310"/>
    </row>
    <row r="140" spans="10:10" s="204" customFormat="1" x14ac:dyDescent="0.25">
      <c r="J140" s="310"/>
    </row>
    <row r="141" spans="10:10" s="204" customFormat="1" x14ac:dyDescent="0.25">
      <c r="J141" s="313"/>
    </row>
    <row r="142" spans="10:10" s="204" customFormat="1" x14ac:dyDescent="0.25">
      <c r="J142" s="313"/>
    </row>
    <row r="143" spans="10:10" s="204" customFormat="1" x14ac:dyDescent="0.25">
      <c r="J143" s="310"/>
    </row>
    <row r="144" spans="10:10" s="204" customFormat="1" x14ac:dyDescent="0.25"/>
    <row r="145" s="204" customFormat="1" x14ac:dyDescent="0.25"/>
    <row r="146" s="204" customFormat="1" x14ac:dyDescent="0.25"/>
    <row r="147" s="204" customFormat="1" x14ac:dyDescent="0.25"/>
    <row r="148" s="204" customFormat="1" x14ac:dyDescent="0.25"/>
    <row r="149" s="204" customFormat="1" x14ac:dyDescent="0.25"/>
    <row r="150" s="204" customFormat="1" x14ac:dyDescent="0.25"/>
    <row r="151" s="204" customFormat="1" x14ac:dyDescent="0.25"/>
    <row r="152" s="204" customFormat="1" x14ac:dyDescent="0.25"/>
    <row r="153" s="204" customFormat="1" x14ac:dyDescent="0.25"/>
    <row r="154" s="204" customFormat="1" x14ac:dyDescent="0.25"/>
    <row r="155" s="204" customFormat="1" x14ac:dyDescent="0.25"/>
    <row r="156" s="204" customFormat="1" x14ac:dyDescent="0.25"/>
    <row r="157" s="204" customFormat="1" x14ac:dyDescent="0.25"/>
    <row r="158" s="204" customFormat="1" x14ac:dyDescent="0.25"/>
    <row r="159" s="204" customFormat="1" x14ac:dyDescent="0.25"/>
    <row r="160" s="204" customFormat="1" x14ac:dyDescent="0.25"/>
    <row r="161" s="204" customFormat="1" x14ac:dyDescent="0.25"/>
    <row r="162" s="204" customFormat="1" x14ac:dyDescent="0.25"/>
    <row r="163" s="204" customFormat="1" x14ac:dyDescent="0.25"/>
    <row r="164" s="204" customFormat="1" x14ac:dyDescent="0.25"/>
    <row r="165" s="204" customFormat="1" x14ac:dyDescent="0.25"/>
    <row r="166" s="204" customFormat="1" x14ac:dyDescent="0.25"/>
    <row r="167" s="204" customFormat="1" x14ac:dyDescent="0.25"/>
    <row r="168" s="204" customFormat="1" x14ac:dyDescent="0.25"/>
    <row r="169" s="204" customFormat="1" x14ac:dyDescent="0.25"/>
    <row r="170" s="204" customFormat="1" x14ac:dyDescent="0.25"/>
    <row r="171" s="204" customFormat="1" x14ac:dyDescent="0.25"/>
    <row r="172" s="204" customFormat="1" x14ac:dyDescent="0.25"/>
    <row r="173" s="204" customFormat="1" x14ac:dyDescent="0.25"/>
    <row r="174" s="204" customFormat="1" x14ac:dyDescent="0.25"/>
    <row r="175" s="204" customFormat="1" x14ac:dyDescent="0.25"/>
    <row r="176" s="204" customFormat="1" x14ac:dyDescent="0.25"/>
    <row r="177" s="204" customFormat="1" x14ac:dyDescent="0.25"/>
    <row r="178" s="204" customFormat="1" x14ac:dyDescent="0.25"/>
    <row r="179" s="204" customFormat="1" x14ac:dyDescent="0.25"/>
    <row r="180" s="204" customFormat="1" x14ac:dyDescent="0.25"/>
    <row r="181" s="204" customFormat="1" x14ac:dyDescent="0.25"/>
    <row r="182" s="204" customFormat="1" x14ac:dyDescent="0.25"/>
  </sheetData>
  <sheetProtection algorithmName="SHA-512" hashValue="AgoargCaJ5tzSPLfW18qb35uSQgagZzjzfuqbDh/G/ReEXTN5dUa1BKkyEZ1dq4KV/gsHy+zQ20vGzyY00YNfA==" saltValue="49tBKjTcvv3IjyuBZW9k8Q==" spinCount="100000" sheet="1" objects="1" scenarios="1"/>
  <mergeCells count="34">
    <mergeCell ref="A92:A93"/>
    <mergeCell ref="B75:J75"/>
    <mergeCell ref="B73:J73"/>
    <mergeCell ref="B74:J74"/>
    <mergeCell ref="A73:A76"/>
    <mergeCell ref="B76:J76"/>
    <mergeCell ref="B90:C90"/>
    <mergeCell ref="B97:J97"/>
    <mergeCell ref="B99:J99"/>
    <mergeCell ref="B103:J103"/>
    <mergeCell ref="B78:J78"/>
    <mergeCell ref="B88:C88"/>
    <mergeCell ref="B82:J82"/>
    <mergeCell ref="B84:J84"/>
    <mergeCell ref="B80:J80"/>
    <mergeCell ref="D86:J86"/>
    <mergeCell ref="B86:C86"/>
    <mergeCell ref="B95:C95"/>
    <mergeCell ref="B93:J93"/>
    <mergeCell ref="B101:J101"/>
    <mergeCell ref="B92:J92"/>
    <mergeCell ref="B4:F4"/>
    <mergeCell ref="B5:F5"/>
    <mergeCell ref="B6:F6"/>
    <mergeCell ref="B70:J70"/>
    <mergeCell ref="B34:J34"/>
    <mergeCell ref="B8:J8"/>
    <mergeCell ref="B30:J30"/>
    <mergeCell ref="B32:J32"/>
    <mergeCell ref="B53:J53"/>
    <mergeCell ref="B55:J55"/>
    <mergeCell ref="B57:J57"/>
    <mergeCell ref="B60:I60"/>
    <mergeCell ref="B37:J37"/>
  </mergeCells>
  <conditionalFormatting sqref="B28">
    <cfRule type="cellIs" dxfId="16" priority="1" operator="greaterThan">
      <formula>#REF!</formula>
    </cfRule>
  </conditionalFormatting>
  <conditionalFormatting sqref="B8:J8 B12 B14 B16 B18 B20 B22 B24 B26 B30:J30 B32:J32 B34:J34 B39 B41 B43 B45 B47 B49 B51 B53:J53 B55:J55 B57:J57 B62 B64 B66:B68 B70:J70 B73:B76 B78 B80 B82 B84 B86:C86 B88 B90 B92:B93 B95 B97 B99 B101 B103">
    <cfRule type="cellIs" dxfId="15" priority="83" operator="greaterThan">
      <formula>#REF!</formula>
    </cfRule>
  </conditionalFormatting>
  <dataValidations xWindow="824" yWindow="275" count="3">
    <dataValidation type="list" showInputMessage="1" showErrorMessage="1" sqref="B66:B68 B64 B62" xr:uid="{00000000-0002-0000-0600-000006000000}">
      <formula1>$M$115:$M$116</formula1>
    </dataValidation>
    <dataValidation type="list" allowBlank="1" showInputMessage="1" showErrorMessage="1" sqref="B90:C90" xr:uid="{00000000-0002-0000-0600-000007000000}">
      <formula1>"Yes, No"</formula1>
    </dataValidation>
    <dataValidation type="list" showInputMessage="1" showErrorMessage="1" sqref="B12 B14 B16 B18 B20 B22 B24 B26 B28 B39 B41 B43 B45 B47 B49 B51" xr:uid="{8323AD76-06A4-4DF2-AD60-FA6C0AC7B23B}">
      <formula1>"X,  ,"</formula1>
    </dataValidation>
  </dataValidations>
  <pageMargins left="0.7" right="0.7" top="0.75" bottom="0.75" header="0.3" footer="0.3"/>
  <pageSetup scale="70" fitToHeight="0" orientation="portrait" horizontalDpi="300" verticalDpi="300" r:id="rId1"/>
  <headerFooter>
    <oddFooter>&amp;LWeights and Measures&amp;CPage &amp;P of &amp;N</oddFooter>
  </headerFooter>
  <legacyDrawing r:id="rId2"/>
  <extLst>
    <ext xmlns:x14="http://schemas.microsoft.com/office/spreadsheetml/2009/9/main" uri="{CCE6A557-97BC-4b89-ADB6-D9C93CAAB3DF}">
      <x14:dataValidations xmlns:xm="http://schemas.microsoft.com/office/excel/2006/main" xWindow="824" yWindow="275" count="10">
        <x14:dataValidation type="list" allowBlank="1" showInputMessage="1" showErrorMessage="1" xr:uid="{00000000-0002-0000-0600-000001000000}">
          <x14:formula1>
            <xm:f>LookupTables!$P$2:$P$71</xm:f>
          </x14:formula1>
          <xm:sqref>B86:C86</xm:sqref>
        </x14:dataValidation>
        <x14:dataValidation type="list" allowBlank="1" showInputMessage="1" xr:uid="{00000000-0002-0000-0600-000005000000}">
          <x14:formula1>
            <xm:f>LookupTables!$AJ$34:$AJ$36</xm:f>
          </x14:formula1>
          <xm:sqref>B80:J80</xm:sqref>
        </x14:dataValidation>
        <x14:dataValidation type="list" allowBlank="1" showInputMessage="1" showErrorMessage="1" prompt="Select the appropriate documentary standard for this calibration and PT item.  The tolerances and decision rules will be used for the normalized precision assessment during analysis. " xr:uid="{C6ECD86A-6394-42F9-BD05-082E083E6F5C}">
          <x14:formula1>
            <xm:f>LookupTables!$W$3:$W$71</xm:f>
          </x14:formula1>
          <xm:sqref>B92:J93</xm:sqref>
        </x14:dataValidation>
        <x14:dataValidation type="list" allowBlank="1" showInputMessage="1" showErrorMessage="1" xr:uid="{C6DC9424-356E-433E-A2AF-A42661A50DE5}">
          <x14:formula1>
            <xm:f>LookupTables!$T$2:$T$71</xm:f>
          </x14:formula1>
          <xm:sqref>B73:J76</xm:sqref>
        </x14:dataValidation>
        <x14:dataValidation type="list" allowBlank="1" showInputMessage="1" xr:uid="{00000000-0002-0000-0600-000008000000}">
          <x14:formula1>
            <xm:f>LookupTables!$AJ$8:$AJ$10</xm:f>
          </x14:formula1>
          <xm:sqref>B95:C95</xm:sqref>
        </x14:dataValidation>
        <x14:dataValidation type="list" allowBlank="1" showInputMessage="1" xr:uid="{5B4A8ED0-6505-4D89-AE47-9BBA0893A469}">
          <x14:formula1>
            <xm:f>LookupTables!$AJ$14:$AJ$15</xm:f>
          </x14:formula1>
          <xm:sqref>B99:J99</xm:sqref>
        </x14:dataValidation>
        <x14:dataValidation type="list" allowBlank="1" showInputMessage="1" xr:uid="{0E482C32-CCAF-4DC6-96D3-9F6F002B0399}">
          <x14:formula1>
            <xm:f>LookupTables!$AJ$19:$AJ$21</xm:f>
          </x14:formula1>
          <xm:sqref>B101:J101</xm:sqref>
        </x14:dataValidation>
        <x14:dataValidation type="list" allowBlank="1" showInputMessage="1" xr:uid="{CD78A3BD-3B95-4014-A8B1-E0DE649B40C3}">
          <x14:formula1>
            <xm:f>LookupTables!$AJ$24:$AJ$26</xm:f>
          </x14:formula1>
          <xm:sqref>B97:J97</xm:sqref>
        </x14:dataValidation>
        <x14:dataValidation type="list" allowBlank="1" showInputMessage="1" xr:uid="{7A0BCA41-617F-4FD3-BA27-F052C57E0464}">
          <x14:formula1>
            <xm:f>LookupTables!$AJ$29:$AJ$31</xm:f>
          </x14:formula1>
          <xm:sqref>B78:J78</xm:sqref>
        </x14:dataValidation>
        <x14:dataValidation type="list" allowBlank="1" showInputMessage="1" xr:uid="{23B87B25-BA59-462C-B191-6059B4B86A00}">
          <x14:formula1>
            <xm:f>LookupTables!$AJ$39:$AJ$41</xm:f>
          </x14:formula1>
          <xm:sqref>B82:J82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61"/>
    <pageSetUpPr fitToPage="1"/>
  </sheetPr>
  <dimension ref="A1:L57"/>
  <sheetViews>
    <sheetView zoomScaleNormal="100" workbookViewId="0">
      <selection activeCell="B58" sqref="B58"/>
    </sheetView>
  </sheetViews>
  <sheetFormatPr defaultRowHeight="15" x14ac:dyDescent="0.25"/>
  <cols>
    <col min="1" max="1" width="29.42578125" customWidth="1"/>
    <col min="2" max="2" width="95.42578125" customWidth="1"/>
    <col min="3" max="3" width="29" customWidth="1"/>
    <col min="4" max="4" width="3.5703125" customWidth="1"/>
    <col min="5" max="5" width="45.85546875" customWidth="1"/>
    <col min="6" max="6" width="205.140625" customWidth="1"/>
    <col min="7" max="7" width="2.140625" customWidth="1"/>
  </cols>
  <sheetData>
    <row r="1" spans="1:12" ht="21" x14ac:dyDescent="0.35">
      <c r="A1" s="332" t="s">
        <v>93</v>
      </c>
      <c r="G1" s="31"/>
    </row>
    <row r="2" spans="1:12" ht="21.75" thickBot="1" x14ac:dyDescent="0.4">
      <c r="A2" s="26" t="s">
        <v>381</v>
      </c>
      <c r="G2" s="31"/>
    </row>
    <row r="3" spans="1:12" ht="15.75" thickBot="1" x14ac:dyDescent="0.3">
      <c r="G3" s="31"/>
      <c r="H3" s="39"/>
      <c r="I3" t="s">
        <v>128</v>
      </c>
    </row>
    <row r="4" spans="1:12" x14ac:dyDescent="0.25">
      <c r="A4" s="9" t="s">
        <v>190</v>
      </c>
      <c r="B4" s="211" t="str">
        <f>IF('P1; Organize the PT'!C4="","",'P1; Organize the PT'!C4)</f>
        <v>----</v>
      </c>
      <c r="G4" s="31"/>
    </row>
    <row r="5" spans="1:12" x14ac:dyDescent="0.25">
      <c r="A5" s="9" t="s">
        <v>102</v>
      </c>
      <c r="B5" s="211" t="str">
        <f>IF('P1; Organize the PT'!C12="","",'P1; Organize the PT'!C12)</f>
        <v/>
      </c>
      <c r="G5" s="31"/>
    </row>
    <row r="6" spans="1:12" x14ac:dyDescent="0.25">
      <c r="A6" s="9" t="s">
        <v>191</v>
      </c>
      <c r="B6" s="211" t="str">
        <f>IF('P1; Organize the PT'!C15="","",'P1; Organize the PT'!C15)</f>
        <v/>
      </c>
      <c r="G6" s="31"/>
      <c r="H6" s="28"/>
      <c r="I6" s="28"/>
      <c r="J6" s="28"/>
      <c r="K6" s="28"/>
      <c r="L6" s="28"/>
    </row>
    <row r="7" spans="1:12" x14ac:dyDescent="0.25">
      <c r="G7" s="31"/>
      <c r="H7" s="55" t="s">
        <v>382</v>
      </c>
      <c r="I7" s="55" t="s">
        <v>383</v>
      </c>
      <c r="J7" s="55" t="s">
        <v>384</v>
      </c>
      <c r="K7" s="55"/>
      <c r="L7" s="55" t="s">
        <v>385</v>
      </c>
    </row>
    <row r="8" spans="1:12" ht="15.75" x14ac:dyDescent="0.25">
      <c r="A8" s="150" t="s">
        <v>1352</v>
      </c>
      <c r="G8" s="31"/>
      <c r="H8" s="29"/>
      <c r="I8" s="29"/>
      <c r="J8" s="29"/>
      <c r="K8" s="29"/>
      <c r="L8" s="29"/>
    </row>
    <row r="9" spans="1:12" ht="15.75" x14ac:dyDescent="0.25">
      <c r="B9" s="252" t="s">
        <v>643</v>
      </c>
      <c r="G9" s="31"/>
    </row>
    <row r="10" spans="1:12" x14ac:dyDescent="0.25">
      <c r="A10" s="131" t="s">
        <v>395</v>
      </c>
      <c r="B10" s="61"/>
      <c r="C10" t="s">
        <v>997</v>
      </c>
      <c r="G10" s="31"/>
    </row>
    <row r="11" spans="1:12" x14ac:dyDescent="0.25">
      <c r="A11" s="131" t="s">
        <v>396</v>
      </c>
      <c r="B11" s="61" t="e">
        <f>VLOOKUP($B$10,LookupTables!$AM$3:$BI$109,2,FALSE)</f>
        <v>#N/A</v>
      </c>
      <c r="G11" s="31"/>
    </row>
    <row r="12" spans="1:12" x14ac:dyDescent="0.25">
      <c r="A12" s="131" t="s">
        <v>394</v>
      </c>
      <c r="B12" s="335" t="e">
        <f>VLOOKUP($B$10,LookupTables!$AM$3:$BI$109,3,FALSE)</f>
        <v>#N/A</v>
      </c>
      <c r="G12" s="31"/>
    </row>
    <row r="13" spans="1:12" x14ac:dyDescent="0.25">
      <c r="A13" s="131" t="s">
        <v>398</v>
      </c>
      <c r="B13" s="335" t="e">
        <f>VLOOKUP($B$10,LookupTables!$AM$3:$BI$109,4,FALSE)</f>
        <v>#N/A</v>
      </c>
      <c r="G13" s="31"/>
    </row>
    <row r="14" spans="1:12" x14ac:dyDescent="0.25">
      <c r="A14" s="131" t="s">
        <v>102</v>
      </c>
      <c r="B14" s="335" t="e">
        <f>VLOOKUP($B$10,LookupTables!$AM$3:$BI$109,5,FALSE)</f>
        <v>#N/A</v>
      </c>
      <c r="G14" s="31"/>
    </row>
    <row r="15" spans="1:12" x14ac:dyDescent="0.25">
      <c r="A15" s="131" t="s">
        <v>397</v>
      </c>
      <c r="B15" s="335" t="e">
        <f>VLOOKUP($B$10,LookupTables!$AM$3:$BI$109,6,FALSE)</f>
        <v>#N/A</v>
      </c>
      <c r="G15" s="31"/>
    </row>
    <row r="16" spans="1:12" s="3" customFormat="1" ht="19.5" customHeight="1" x14ac:dyDescent="0.25">
      <c r="A16" s="339" t="s">
        <v>399</v>
      </c>
      <c r="B16" s="335" t="e">
        <f>VLOOKUP($B$10,LookupTables!$AM$3:$BI$109,7,FALSE)</f>
        <v>#N/A</v>
      </c>
      <c r="G16" s="340"/>
    </row>
    <row r="17" spans="1:12" x14ac:dyDescent="0.25">
      <c r="A17" s="131" t="s">
        <v>400</v>
      </c>
      <c r="B17" s="335" t="e">
        <f>VLOOKUP($B$10,LookupTables!$AM$3:$BI$109,8,FALSE)</f>
        <v>#N/A</v>
      </c>
      <c r="G17" s="31"/>
    </row>
    <row r="18" spans="1:12" x14ac:dyDescent="0.25">
      <c r="A18" s="131" t="s">
        <v>401</v>
      </c>
      <c r="B18" s="335" t="e">
        <f>VLOOKUP($B$10,LookupTables!$AM$3:$BI$109,9,FALSE)</f>
        <v>#N/A</v>
      </c>
      <c r="G18" s="31"/>
    </row>
    <row r="19" spans="1:12" ht="30" x14ac:dyDescent="0.25">
      <c r="A19" s="253" t="s">
        <v>402</v>
      </c>
      <c r="B19" s="460" t="e">
        <f>VLOOKUP($B$10,LookupTables!$AM$3:$BI$109,10,FALSE)</f>
        <v>#N/A</v>
      </c>
      <c r="C19" t="s">
        <v>998</v>
      </c>
      <c r="G19" s="31"/>
    </row>
    <row r="20" spans="1:12" x14ac:dyDescent="0.25">
      <c r="A20" s="253" t="s">
        <v>403</v>
      </c>
      <c r="B20" s="335" t="e">
        <f>VLOOKUP($B$10,LookupTables!$AM$3:$BI$109,13,FALSE)</f>
        <v>#N/A</v>
      </c>
      <c r="C20" t="s">
        <v>998</v>
      </c>
      <c r="G20" s="31"/>
    </row>
    <row r="21" spans="1:12" x14ac:dyDescent="0.25">
      <c r="A21" s="253" t="s">
        <v>205</v>
      </c>
      <c r="B21" s="61"/>
      <c r="C21" t="s">
        <v>998</v>
      </c>
      <c r="G21" s="31"/>
    </row>
    <row r="22" spans="1:12" x14ac:dyDescent="0.25">
      <c r="A22" s="253" t="s">
        <v>205</v>
      </c>
      <c r="B22" s="61"/>
      <c r="C22" t="s">
        <v>998</v>
      </c>
      <c r="G22" s="31"/>
    </row>
    <row r="23" spans="1:12" x14ac:dyDescent="0.25">
      <c r="A23" s="253" t="s">
        <v>205</v>
      </c>
      <c r="B23" s="61"/>
      <c r="C23" t="s">
        <v>998</v>
      </c>
      <c r="G23" s="31"/>
    </row>
    <row r="24" spans="1:12" ht="15.75" x14ac:dyDescent="0.25">
      <c r="B24" s="30"/>
      <c r="G24" s="31"/>
      <c r="H24" s="204"/>
      <c r="I24" s="204"/>
      <c r="J24" s="204"/>
      <c r="K24" s="204"/>
      <c r="L24" s="204"/>
    </row>
    <row r="25" spans="1:12" ht="15.75" x14ac:dyDescent="0.25">
      <c r="B25" s="30" t="s">
        <v>386</v>
      </c>
      <c r="G25" s="31"/>
      <c r="H25" s="204"/>
      <c r="I25" s="204"/>
      <c r="J25" s="204"/>
      <c r="K25" s="204"/>
      <c r="L25" s="204"/>
    </row>
    <row r="26" spans="1:12" x14ac:dyDescent="0.25">
      <c r="A26" s="131" t="s">
        <v>387</v>
      </c>
      <c r="B26" s="335" t="e">
        <f>VLOOKUP($B$10,LookupTables!$AM$3:$BI$109,15,FALSE)</f>
        <v>#N/A</v>
      </c>
      <c r="G26" s="31"/>
    </row>
    <row r="27" spans="1:12" x14ac:dyDescent="0.25">
      <c r="A27" s="131" t="s">
        <v>388</v>
      </c>
      <c r="B27" s="335" t="e">
        <f>VLOOKUP($B$10,LookupTables!$AM$3:$BI$109,16,FALSE)</f>
        <v>#N/A</v>
      </c>
      <c r="G27" s="31"/>
    </row>
    <row r="28" spans="1:12" x14ac:dyDescent="0.25">
      <c r="A28" s="131" t="s">
        <v>389</v>
      </c>
      <c r="B28" s="335" t="e">
        <f>VLOOKUP($B$10,LookupTables!$AM$3:$BI$109,17,FALSE)</f>
        <v>#N/A</v>
      </c>
      <c r="G28" s="31"/>
    </row>
    <row r="29" spans="1:12" x14ac:dyDescent="0.25">
      <c r="A29" s="131" t="s">
        <v>390</v>
      </c>
      <c r="B29" s="335" t="e">
        <f>VLOOKUP($B$10,LookupTables!$AM$3:$BI$109,18,FALSE)</f>
        <v>#N/A</v>
      </c>
      <c r="G29" s="31"/>
    </row>
    <row r="30" spans="1:12" x14ac:dyDescent="0.25">
      <c r="A30" s="131" t="s">
        <v>1388</v>
      </c>
      <c r="B30" s="335" t="e">
        <f>VLOOKUP($B$10,LookupTables!$AM$3:$BI$109,19,FALSE)</f>
        <v>#N/A</v>
      </c>
      <c r="G30" s="31"/>
    </row>
    <row r="31" spans="1:12" x14ac:dyDescent="0.25">
      <c r="A31" s="132" t="s">
        <v>391</v>
      </c>
      <c r="B31" s="335" t="e">
        <f>VLOOKUP($B$10,LookupTables!$AM$3:$BI$109,20,FALSE)</f>
        <v>#N/A</v>
      </c>
      <c r="G31" s="31"/>
    </row>
    <row r="32" spans="1:12" x14ac:dyDescent="0.25">
      <c r="A32" s="132" t="s">
        <v>392</v>
      </c>
      <c r="B32" s="335" t="e">
        <f>VLOOKUP($B$10,LookupTables!$AM$3:$BI$109,21,FALSE)</f>
        <v>#N/A</v>
      </c>
      <c r="G32" s="31"/>
    </row>
    <row r="33" spans="1:7" x14ac:dyDescent="0.25">
      <c r="A33" s="132" t="s">
        <v>393</v>
      </c>
      <c r="B33" s="336" t="e">
        <f>VLOOKUP($B$10,LookupTables!$AM$3:$BI$109,22,FALSE)</f>
        <v>#N/A</v>
      </c>
      <c r="G33" s="31"/>
    </row>
    <row r="34" spans="1:7" x14ac:dyDescent="0.25">
      <c r="B34" s="142"/>
      <c r="G34" s="31"/>
    </row>
    <row r="35" spans="1:7" ht="15.75" x14ac:dyDescent="0.25">
      <c r="A35" s="150" t="s">
        <v>404</v>
      </c>
      <c r="B35" s="142" t="s">
        <v>646</v>
      </c>
      <c r="G35" s="31"/>
    </row>
    <row r="36" spans="1:7" ht="75.75" customHeight="1" x14ac:dyDescent="0.25">
      <c r="A36" s="141" t="s">
        <v>405</v>
      </c>
      <c r="B36" s="143" t="s">
        <v>644</v>
      </c>
      <c r="D36" s="133"/>
      <c r="G36" s="31"/>
    </row>
    <row r="37" spans="1:7" x14ac:dyDescent="0.25">
      <c r="B37" s="142"/>
      <c r="D37" s="134"/>
      <c r="G37" s="31"/>
    </row>
    <row r="38" spans="1:7" ht="15.75" x14ac:dyDescent="0.25">
      <c r="A38" s="151" t="s">
        <v>406</v>
      </c>
      <c r="B38" s="142" t="s">
        <v>646</v>
      </c>
      <c r="D38" s="134"/>
      <c r="G38" s="31"/>
    </row>
    <row r="39" spans="1:7" ht="81" customHeight="1" x14ac:dyDescent="0.25">
      <c r="A39" s="614" t="s">
        <v>396</v>
      </c>
      <c r="B39" s="143" t="s">
        <v>1413</v>
      </c>
      <c r="C39" s="501" t="s">
        <v>1414</v>
      </c>
      <c r="D39" s="134"/>
      <c r="G39" s="31"/>
    </row>
    <row r="40" spans="1:7" ht="179.25" customHeight="1" x14ac:dyDescent="0.25">
      <c r="A40" s="615"/>
      <c r="B40" s="500"/>
      <c r="C40" s="3" t="s">
        <v>1412</v>
      </c>
      <c r="D40" s="134"/>
      <c r="G40" s="31"/>
    </row>
    <row r="41" spans="1:7" ht="47.25" customHeight="1" x14ac:dyDescent="0.25">
      <c r="A41" s="42" t="s">
        <v>405</v>
      </c>
      <c r="B41" s="143" t="s">
        <v>645</v>
      </c>
      <c r="D41" s="134"/>
      <c r="G41" s="31"/>
    </row>
    <row r="42" spans="1:7" x14ac:dyDescent="0.25">
      <c r="G42" s="31"/>
    </row>
    <row r="43" spans="1:7" ht="15.75" x14ac:dyDescent="0.25">
      <c r="A43" s="150" t="s">
        <v>647</v>
      </c>
      <c r="B43" s="142" t="s">
        <v>646</v>
      </c>
      <c r="G43" s="31"/>
    </row>
    <row r="44" spans="1:7" x14ac:dyDescent="0.25">
      <c r="A44" s="43" t="s">
        <v>407</v>
      </c>
      <c r="B44" s="4"/>
      <c r="G44" s="31"/>
    </row>
    <row r="45" spans="1:7" ht="45" x14ac:dyDescent="0.25">
      <c r="A45" s="41" t="s">
        <v>408</v>
      </c>
      <c r="B45" s="61" t="s">
        <v>409</v>
      </c>
      <c r="G45" s="31"/>
    </row>
    <row r="46" spans="1:7" x14ac:dyDescent="0.25">
      <c r="A46" s="41" t="s">
        <v>410</v>
      </c>
      <c r="B46" s="73" t="s">
        <v>383</v>
      </c>
      <c r="G46" s="31"/>
    </row>
    <row r="47" spans="1:7" x14ac:dyDescent="0.25">
      <c r="A47" s="41" t="s">
        <v>411</v>
      </c>
      <c r="B47" s="73" t="s">
        <v>384</v>
      </c>
      <c r="G47" s="31"/>
    </row>
    <row r="48" spans="1:7" x14ac:dyDescent="0.25">
      <c r="A48" s="41" t="s">
        <v>412</v>
      </c>
      <c r="B48" s="73"/>
      <c r="G48" s="31"/>
    </row>
    <row r="49" spans="1:7" x14ac:dyDescent="0.25">
      <c r="A49" s="41" t="s">
        <v>413</v>
      </c>
      <c r="B49" s="73" t="s">
        <v>414</v>
      </c>
      <c r="G49" s="31"/>
    </row>
    <row r="50" spans="1:7" x14ac:dyDescent="0.25">
      <c r="A50" s="41" t="s">
        <v>415</v>
      </c>
      <c r="B50" s="365" t="e">
        <f>VLOOKUP($B$10,LookupTables!$AM$3:$BI$109,11,FALSE)</f>
        <v>#N/A</v>
      </c>
      <c r="C50" t="s">
        <v>1012</v>
      </c>
      <c r="G50" s="31"/>
    </row>
    <row r="51" spans="1:7" x14ac:dyDescent="0.25">
      <c r="A51" s="41" t="s">
        <v>417</v>
      </c>
      <c r="B51" s="366" t="e">
        <f>VLOOKUP($B$10,LookupTables!$AM$3:$BI$109,12,FALSE)</f>
        <v>#N/A</v>
      </c>
      <c r="C51" t="s">
        <v>1012</v>
      </c>
      <c r="G51" s="31"/>
    </row>
    <row r="52" spans="1:7" ht="47.25" customHeight="1" x14ac:dyDescent="0.25">
      <c r="A52" s="41" t="s">
        <v>418</v>
      </c>
      <c r="B52" s="144" t="s">
        <v>419</v>
      </c>
      <c r="C52" t="s">
        <v>416</v>
      </c>
      <c r="E52" s="24"/>
    </row>
    <row r="53" spans="1:7" x14ac:dyDescent="0.25">
      <c r="A53" t="s">
        <v>420</v>
      </c>
      <c r="G53" s="31"/>
    </row>
    <row r="54" spans="1:7" x14ac:dyDescent="0.25">
      <c r="G54" s="31"/>
    </row>
    <row r="55" spans="1:7" x14ac:dyDescent="0.25">
      <c r="G55" s="31"/>
    </row>
    <row r="56" spans="1:7" x14ac:dyDescent="0.25">
      <c r="G56" s="31"/>
    </row>
    <row r="57" spans="1:7" x14ac:dyDescent="0.25">
      <c r="G57" s="31"/>
    </row>
  </sheetData>
  <sheetProtection algorithmName="SHA-512" hashValue="T//D4f6iEYSMwLIvMNQp7T9l0TcOlEu3ba1QX5mlL3IB7WXS9CIJH+2Rb1A90wwQLKWkkD2U+cKjRYdrw+2hTg==" saltValue="QZDfjhj6DpudOlwrKh/mtw==" spinCount="100000" sheet="1" objects="1" scenarios="1"/>
  <mergeCells count="1">
    <mergeCell ref="A39:A40"/>
  </mergeCells>
  <conditionalFormatting sqref="B10:B23 B26:B33 D36">
    <cfRule type="cellIs" dxfId="14" priority="1" operator="greaterThan">
      <formula>$H$3</formula>
    </cfRule>
  </conditionalFormatting>
  <conditionalFormatting sqref="B36">
    <cfRule type="cellIs" dxfId="13" priority="5" operator="greaterThan">
      <formula>$H$3</formula>
    </cfRule>
  </conditionalFormatting>
  <conditionalFormatting sqref="B39:B41">
    <cfRule type="cellIs" dxfId="12" priority="4" operator="greaterThan">
      <formula>$H$3</formula>
    </cfRule>
  </conditionalFormatting>
  <conditionalFormatting sqref="B45:B52">
    <cfRule type="cellIs" dxfId="11" priority="3" operator="greaterThan">
      <formula>$H$3</formula>
    </cfRule>
  </conditionalFormatting>
  <conditionalFormatting sqref="H7:L7">
    <cfRule type="cellIs" dxfId="10" priority="6" operator="greaterThan">
      <formula>$H$3</formula>
    </cfRule>
  </conditionalFormatting>
  <dataValidations count="4">
    <dataValidation type="list" allowBlank="1" showInputMessage="1" sqref="B45" xr:uid="{00000000-0002-0000-0700-000000000000}">
      <formula1>$H$6:$H$8</formula1>
    </dataValidation>
    <dataValidation type="list" allowBlank="1" showInputMessage="1" sqref="B46" xr:uid="{00000000-0002-0000-0700-000001000000}">
      <formula1>$I$6:$I$8</formula1>
    </dataValidation>
    <dataValidation type="list" allowBlank="1" showInputMessage="1" sqref="B47" xr:uid="{00000000-0002-0000-0700-000002000000}">
      <formula1>$J$6:$J$8</formula1>
    </dataValidation>
    <dataValidation type="list" allowBlank="1" showInputMessage="1" sqref="B49" xr:uid="{00000000-0002-0000-0700-000004000000}">
      <formula1>$L$6:$L$8</formula1>
    </dataValidation>
  </dataValidations>
  <pageMargins left="0.7" right="0.7" top="0.75" bottom="0.75" header="0.3" footer="0.3"/>
  <pageSetup scale="72" fitToHeight="0" orientation="portrait" horizontalDpi="300" verticalDpi="300" r:id="rId1"/>
  <headerFooter>
    <oddFooter>&amp;LWeights and Measures&amp;CPage &amp;P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C8854A8-1A9B-4392-9B51-D18DFF914ED5}">
          <x14:formula1>
            <xm:f>LookupTables!$AM$3:$AM$109</xm:f>
          </x14:formula1>
          <xm:sqref>B10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61"/>
    <pageSetUpPr fitToPage="1"/>
  </sheetPr>
  <dimension ref="A1:K48"/>
  <sheetViews>
    <sheetView topLeftCell="A6" zoomScale="90" zoomScaleNormal="90" zoomScaleSheetLayoutView="100" workbookViewId="0">
      <selection activeCell="A30" sqref="A30:XFD32"/>
    </sheetView>
  </sheetViews>
  <sheetFormatPr defaultColWidth="9.140625" defaultRowHeight="15" x14ac:dyDescent="0.25"/>
  <cols>
    <col min="1" max="1" width="5.42578125" style="472" customWidth="1"/>
    <col min="2" max="2" width="28.5703125" style="2" customWidth="1"/>
    <col min="3" max="3" width="17.5703125" style="2" customWidth="1"/>
    <col min="4" max="4" width="16" style="2" customWidth="1"/>
    <col min="5" max="5" width="17.5703125" style="2" customWidth="1"/>
    <col min="6" max="6" width="34.42578125" style="469" customWidth="1"/>
    <col min="7" max="7" width="17.42578125" style="10" customWidth="1"/>
    <col min="8" max="8" width="8.85546875" style="10" customWidth="1"/>
    <col min="9" max="9" width="12.5703125" style="10" customWidth="1"/>
    <col min="10" max="10" width="33.5703125" style="10" customWidth="1"/>
    <col min="11" max="11" width="41.85546875" style="2" customWidth="1"/>
    <col min="12" max="16384" width="9.140625" style="2"/>
  </cols>
  <sheetData>
    <row r="1" spans="1:11" customFormat="1" ht="21" x14ac:dyDescent="0.35">
      <c r="A1" s="134"/>
      <c r="B1" s="332" t="s">
        <v>93</v>
      </c>
      <c r="F1" s="70"/>
      <c r="I1" s="1"/>
    </row>
    <row r="2" spans="1:11" customFormat="1" ht="21" x14ac:dyDescent="0.35">
      <c r="A2" s="134"/>
      <c r="B2" s="26" t="s">
        <v>422</v>
      </c>
      <c r="F2" s="70"/>
      <c r="I2" s="1"/>
    </row>
    <row r="3" spans="1:11" customFormat="1" x14ac:dyDescent="0.25">
      <c r="A3" s="134"/>
      <c r="F3" s="70"/>
      <c r="I3" s="1"/>
    </row>
    <row r="4" spans="1:11" customFormat="1" x14ac:dyDescent="0.25">
      <c r="A4" s="134"/>
      <c r="B4" s="9" t="s">
        <v>190</v>
      </c>
      <c r="C4" s="616" t="str">
        <f>IF('P1; Organize the PT'!C4="","",'P1; Organize the PT'!C4)</f>
        <v>----</v>
      </c>
      <c r="D4" s="617"/>
      <c r="F4" s="70"/>
      <c r="I4" s="1"/>
    </row>
    <row r="5" spans="1:11" customFormat="1" x14ac:dyDescent="0.25">
      <c r="A5" s="134"/>
      <c r="B5" s="9" t="s">
        <v>102</v>
      </c>
      <c r="C5" s="616" t="str">
        <f>IF('P1; Organize the PT'!C12="","",'P1; Organize the PT'!C12)</f>
        <v/>
      </c>
      <c r="D5" s="617"/>
      <c r="F5" s="70"/>
      <c r="I5" s="1"/>
    </row>
    <row r="6" spans="1:11" customFormat="1" x14ac:dyDescent="0.25">
      <c r="A6" s="134"/>
      <c r="B6" s="9" t="s">
        <v>1014</v>
      </c>
      <c r="C6" s="616" t="str">
        <f>IF('P1; Organize the PT'!C15="","",'P1; Organize the PT'!C15)</f>
        <v/>
      </c>
      <c r="D6" s="617"/>
      <c r="F6" s="70"/>
      <c r="I6" s="1"/>
    </row>
    <row r="7" spans="1:11" x14ac:dyDescent="0.25">
      <c r="B7" s="9" t="s">
        <v>1015</v>
      </c>
      <c r="C7" s="616" t="str">
        <f>CONCATENATE('P1; Organize the PT'!$E$15," / ",'P1; Organize the PT'!$F$15)</f>
        <v xml:space="preserve"> / </v>
      </c>
      <c r="D7" s="617"/>
      <c r="E7" s="10"/>
      <c r="K7" s="10"/>
    </row>
    <row r="8" spans="1:11" x14ac:dyDescent="0.25">
      <c r="B8" s="10"/>
      <c r="C8" s="10"/>
      <c r="D8" s="10"/>
      <c r="E8" s="10"/>
      <c r="K8" s="10"/>
    </row>
    <row r="9" spans="1:11" ht="17.25" customHeight="1" x14ac:dyDescent="0.25">
      <c r="B9" s="40" t="s">
        <v>423</v>
      </c>
      <c r="C9" s="10"/>
      <c r="D9" s="10"/>
      <c r="E9" s="10"/>
      <c r="G9" s="81"/>
      <c r="H9" s="81"/>
      <c r="I9" s="81"/>
      <c r="J9" s="81"/>
      <c r="K9" s="10"/>
    </row>
    <row r="10" spans="1:11" x14ac:dyDescent="0.25">
      <c r="B10" s="10"/>
      <c r="C10" s="10"/>
      <c r="D10" s="10"/>
      <c r="E10" s="10"/>
      <c r="K10" s="10"/>
    </row>
    <row r="11" spans="1:11" x14ac:dyDescent="0.25">
      <c r="A11" s="472" t="s">
        <v>120</v>
      </c>
      <c r="B11" s="470" t="s">
        <v>123</v>
      </c>
      <c r="C11" s="471" t="s">
        <v>659</v>
      </c>
      <c r="D11" s="470" t="s">
        <v>106</v>
      </c>
      <c r="E11" s="470" t="s">
        <v>107</v>
      </c>
      <c r="F11" s="254" t="s">
        <v>1219</v>
      </c>
      <c r="G11" s="254" t="s">
        <v>426</v>
      </c>
      <c r="H11" s="254" t="s">
        <v>427</v>
      </c>
      <c r="I11" s="254" t="s">
        <v>428</v>
      </c>
      <c r="J11" s="470" t="s">
        <v>425</v>
      </c>
      <c r="K11" s="10"/>
    </row>
    <row r="12" spans="1:11" s="86" customFormat="1" x14ac:dyDescent="0.25">
      <c r="A12" s="473">
        <v>1</v>
      </c>
      <c r="B12" s="84"/>
      <c r="C12" s="318" t="str">
        <f>IF($B12="","",VLOOKUP($B12,LookupTables!$B$3:$N$172,5,FALSE))</f>
        <v/>
      </c>
      <c r="D12" s="460" t="str">
        <f>IF($B12="","",VLOOKUP($B12,LookupTables!$B$3:$N$172,6,FALSE))</f>
        <v/>
      </c>
      <c r="E12" s="318" t="str">
        <f>IF($B12="","",VLOOKUP($B12,LookupTables!$B$3:$N$172,7,FALSE))</f>
        <v/>
      </c>
      <c r="F12" s="318" t="str">
        <f>IF($B12="","",VLOOKUP($B12,LookupTables!$B$3:$N$172,8,FALSE))</f>
        <v/>
      </c>
      <c r="G12" s="318" t="str">
        <f>IF($B12="","",VLOOKUP($B12,LookupTables!$B$3:$N$172,9,FALSE))</f>
        <v/>
      </c>
      <c r="H12" s="318" t="str">
        <f>IF($B12="","",VLOOKUP($B12,LookupTables!$B$3:$N$172,10,FALSE))</f>
        <v/>
      </c>
      <c r="I12" s="423" t="str">
        <f>IF($B12="","",VLOOKUP($B12,LookupTables!$B$3:$N$172,11,FALSE))</f>
        <v/>
      </c>
      <c r="J12" s="85"/>
    </row>
    <row r="13" spans="1:11" s="86" customFormat="1" x14ac:dyDescent="0.25">
      <c r="A13" s="473">
        <v>2</v>
      </c>
      <c r="B13" s="84"/>
      <c r="C13" s="318" t="str">
        <f>IF($B13="","",VLOOKUP($B13,LookupTables!$B$3:$N$172,5,FALSE))</f>
        <v/>
      </c>
      <c r="D13" s="460" t="str">
        <f>IF($B13="","",VLOOKUP($B13,LookupTables!$B$3:$N$172,6,FALSE))</f>
        <v/>
      </c>
      <c r="E13" s="318" t="str">
        <f>IF($B13="","",VLOOKUP($B13,LookupTables!$B$3:$N$172,7,FALSE))</f>
        <v/>
      </c>
      <c r="F13" s="318" t="str">
        <f>IF($B13="","",VLOOKUP($B13,LookupTables!$B$3:$N$172,8,FALSE))</f>
        <v/>
      </c>
      <c r="G13" s="318" t="str">
        <f>IF($B13="","",VLOOKUP($B13,LookupTables!$B$3:$N$172,9,FALSE))</f>
        <v/>
      </c>
      <c r="H13" s="318" t="str">
        <f>IF($B13="","",VLOOKUP($B13,LookupTables!$B$3:$N$172,10,FALSE))</f>
        <v/>
      </c>
      <c r="I13" s="423" t="str">
        <f>IF($B13="","",VLOOKUP($B13,LookupTables!$B$3:$N$172,11,FALSE))</f>
        <v/>
      </c>
      <c r="J13" s="85"/>
    </row>
    <row r="14" spans="1:11" s="86" customFormat="1" x14ac:dyDescent="0.25">
      <c r="A14" s="473">
        <v>3</v>
      </c>
      <c r="B14" s="84"/>
      <c r="C14" s="318" t="str">
        <f>IF($B14="","",VLOOKUP($B14,LookupTables!$B$3:$N$172,5,FALSE))</f>
        <v/>
      </c>
      <c r="D14" s="460" t="str">
        <f>IF($B14="","",VLOOKUP($B14,LookupTables!$B$3:$N$172,6,FALSE))</f>
        <v/>
      </c>
      <c r="E14" s="318" t="str">
        <f>IF($B14="","",VLOOKUP($B14,LookupTables!$B$3:$N$172,7,FALSE))</f>
        <v/>
      </c>
      <c r="F14" s="318" t="str">
        <f>IF($B14="","",VLOOKUP($B14,LookupTables!$B$3:$N$172,8,FALSE))</f>
        <v/>
      </c>
      <c r="G14" s="318" t="str">
        <f>IF($B14="","",VLOOKUP($B14,LookupTables!$B$3:$N$172,9,FALSE))</f>
        <v/>
      </c>
      <c r="H14" s="318" t="str">
        <f>IF($B14="","",VLOOKUP($B14,LookupTables!$B$3:$N$172,10,FALSE))</f>
        <v/>
      </c>
      <c r="I14" s="423" t="str">
        <f>IF($B14="","",VLOOKUP($B14,LookupTables!$B$3:$N$172,11,FALSE))</f>
        <v/>
      </c>
      <c r="J14" s="85"/>
    </row>
    <row r="15" spans="1:11" s="86" customFormat="1" x14ac:dyDescent="0.25">
      <c r="A15" s="473">
        <v>4</v>
      </c>
      <c r="B15" s="84"/>
      <c r="C15" s="318" t="str">
        <f>IF($B15="","",VLOOKUP($B15,LookupTables!$B$3:$N$172,5,FALSE))</f>
        <v/>
      </c>
      <c r="D15" s="460" t="str">
        <f>IF($B15="","",VLOOKUP($B15,LookupTables!$B$3:$N$172,6,FALSE))</f>
        <v/>
      </c>
      <c r="E15" s="318" t="str">
        <f>IF($B15="","",VLOOKUP($B15,LookupTables!$B$3:$N$172,7,FALSE))</f>
        <v/>
      </c>
      <c r="F15" s="318" t="str">
        <f>IF($B15="","",VLOOKUP($B15,LookupTables!$B$3:$N$172,8,FALSE))</f>
        <v/>
      </c>
      <c r="G15" s="318" t="str">
        <f>IF($B15="","",VLOOKUP($B15,LookupTables!$B$3:$N$172,9,FALSE))</f>
        <v/>
      </c>
      <c r="H15" s="318" t="str">
        <f>IF($B15="","",VLOOKUP($B15,LookupTables!$B$3:$N$172,10,FALSE))</f>
        <v/>
      </c>
      <c r="I15" s="423" t="str">
        <f>IF($B15="","",VLOOKUP($B15,LookupTables!$B$3:$N$172,11,FALSE))</f>
        <v/>
      </c>
      <c r="J15" s="85"/>
    </row>
    <row r="16" spans="1:11" s="86" customFormat="1" x14ac:dyDescent="0.25">
      <c r="A16" s="473">
        <v>5</v>
      </c>
      <c r="B16" s="84"/>
      <c r="C16" s="318" t="str">
        <f>IF($B16="","",VLOOKUP($B16,LookupTables!$B$3:$N$172,5,FALSE))</f>
        <v/>
      </c>
      <c r="D16" s="460" t="str">
        <f>IF($B16="","",VLOOKUP($B16,LookupTables!$B$3:$N$172,6,FALSE))</f>
        <v/>
      </c>
      <c r="E16" s="318" t="str">
        <f>IF($B16="","",VLOOKUP($B16,LookupTables!$B$3:$N$172,7,FALSE))</f>
        <v/>
      </c>
      <c r="F16" s="318" t="str">
        <f>IF($B16="","",VLOOKUP($B16,LookupTables!$B$3:$N$172,8,FALSE))</f>
        <v/>
      </c>
      <c r="G16" s="318" t="str">
        <f>IF($B16="","",VLOOKUP($B16,LookupTables!$B$3:$N$172,9,FALSE))</f>
        <v/>
      </c>
      <c r="H16" s="318" t="str">
        <f>IF($B16="","",VLOOKUP($B16,LookupTables!$B$3:$N$172,10,FALSE))</f>
        <v/>
      </c>
      <c r="I16" s="423" t="str">
        <f>IF($B16="","",VLOOKUP($B16,LookupTables!$B$3:$N$172,11,FALSE))</f>
        <v/>
      </c>
      <c r="J16" s="85"/>
    </row>
    <row r="17" spans="1:10" s="86" customFormat="1" x14ac:dyDescent="0.25">
      <c r="A17" s="473">
        <v>6</v>
      </c>
      <c r="B17" s="84"/>
      <c r="C17" s="318" t="str">
        <f>IF($B17="","",VLOOKUP($B17,LookupTables!$B$3:$N$172,5,FALSE))</f>
        <v/>
      </c>
      <c r="D17" s="460" t="str">
        <f>IF($B17="","",VLOOKUP($B17,LookupTables!$B$3:$N$172,6,FALSE))</f>
        <v/>
      </c>
      <c r="E17" s="318" t="str">
        <f>IF($B17="","",VLOOKUP($B17,LookupTables!$B$3:$N$172,7,FALSE))</f>
        <v/>
      </c>
      <c r="F17" s="318" t="str">
        <f>IF($B17="","",VLOOKUP($B17,LookupTables!$B$3:$N$172,8,FALSE))</f>
        <v/>
      </c>
      <c r="G17" s="318" t="str">
        <f>IF($B17="","",VLOOKUP($B17,LookupTables!$B$3:$N$172,9,FALSE))</f>
        <v/>
      </c>
      <c r="H17" s="318" t="str">
        <f>IF($B17="","",VLOOKUP($B17,LookupTables!$B$3:$N$172,10,FALSE))</f>
        <v/>
      </c>
      <c r="I17" s="423" t="str">
        <f>IF($B17="","",VLOOKUP($B17,LookupTables!$B$3:$N$172,11,FALSE))</f>
        <v/>
      </c>
      <c r="J17" s="85"/>
    </row>
    <row r="18" spans="1:10" s="86" customFormat="1" x14ac:dyDescent="0.25">
      <c r="A18" s="473">
        <v>7</v>
      </c>
      <c r="B18" s="84"/>
      <c r="C18" s="318" t="str">
        <f>IF($B18="","",VLOOKUP($B18,LookupTables!$B$3:$N$172,5,FALSE))</f>
        <v/>
      </c>
      <c r="D18" s="460" t="str">
        <f>IF($B18="","",VLOOKUP($B18,LookupTables!$B$3:$N$172,6,FALSE))</f>
        <v/>
      </c>
      <c r="E18" s="318" t="str">
        <f>IF($B18="","",VLOOKUP($B18,LookupTables!$B$3:$N$172,7,FALSE))</f>
        <v/>
      </c>
      <c r="F18" s="318" t="str">
        <f>IF($B18="","",VLOOKUP($B18,LookupTables!$B$3:$N$172,8,FALSE))</f>
        <v/>
      </c>
      <c r="G18" s="318" t="str">
        <f>IF($B18="","",VLOOKUP($B18,LookupTables!$B$3:$N$172,9,FALSE))</f>
        <v/>
      </c>
      <c r="H18" s="318" t="str">
        <f>IF($B18="","",VLOOKUP($B18,LookupTables!$B$3:$N$172,10,FALSE))</f>
        <v/>
      </c>
      <c r="I18" s="423" t="str">
        <f>IF($B18="","",VLOOKUP($B18,LookupTables!$B$3:$N$172,11,FALSE))</f>
        <v/>
      </c>
      <c r="J18" s="85"/>
    </row>
    <row r="19" spans="1:10" s="87" customFormat="1" x14ac:dyDescent="0.25">
      <c r="A19" s="473">
        <v>8</v>
      </c>
      <c r="B19" s="84"/>
      <c r="C19" s="318" t="str">
        <f>IF($B19="","",VLOOKUP($B19,LookupTables!$B$3:$N$172,5,FALSE))</f>
        <v/>
      </c>
      <c r="D19" s="460" t="str">
        <f>IF($B19="","",VLOOKUP($B19,LookupTables!$B$3:$N$172,6,FALSE))</f>
        <v/>
      </c>
      <c r="E19" s="318" t="str">
        <f>IF($B19="","",VLOOKUP($B19,LookupTables!$B$3:$N$172,7,FALSE))</f>
        <v/>
      </c>
      <c r="F19" s="318" t="str">
        <f>IF($B19="","",VLOOKUP($B19,LookupTables!$B$3:$N$172,8,FALSE))</f>
        <v/>
      </c>
      <c r="G19" s="318" t="str">
        <f>IF($B19="","",VLOOKUP($B19,LookupTables!$B$3:$N$172,9,FALSE))</f>
        <v/>
      </c>
      <c r="H19" s="318" t="str">
        <f>IF($B19="","",VLOOKUP($B19,LookupTables!$B$3:$N$172,10,FALSE))</f>
        <v/>
      </c>
      <c r="I19" s="423" t="str">
        <f>IF($B19="","",VLOOKUP($B19,LookupTables!$B$3:$N$172,11,FALSE))</f>
        <v/>
      </c>
      <c r="J19" s="85"/>
    </row>
    <row r="20" spans="1:10" s="86" customFormat="1" x14ac:dyDescent="0.25">
      <c r="A20" s="473">
        <v>9</v>
      </c>
      <c r="B20" s="84"/>
      <c r="C20" s="318" t="str">
        <f>IF($B20="","",VLOOKUP($B20,LookupTables!$B$3:$N$172,5,FALSE))</f>
        <v/>
      </c>
      <c r="D20" s="460" t="str">
        <f>IF($B20="","",VLOOKUP($B20,LookupTables!$B$3:$N$172,6,FALSE))</f>
        <v/>
      </c>
      <c r="E20" s="318" t="str">
        <f>IF($B20="","",VLOOKUP($B20,LookupTables!$B$3:$N$172,7,FALSE))</f>
        <v/>
      </c>
      <c r="F20" s="318" t="str">
        <f>IF($B20="","",VLOOKUP($B20,LookupTables!$B$3:$N$172,8,FALSE))</f>
        <v/>
      </c>
      <c r="G20" s="318" t="str">
        <f>IF($B20="","",VLOOKUP($B20,LookupTables!$B$3:$N$172,9,FALSE))</f>
        <v/>
      </c>
      <c r="H20" s="318" t="str">
        <f>IF($B20="","",VLOOKUP($B20,LookupTables!$B$3:$N$172,10,FALSE))</f>
        <v/>
      </c>
      <c r="I20" s="423" t="str">
        <f>IF($B20="","",VLOOKUP($B20,LookupTables!$B$3:$N$172,11,FALSE))</f>
        <v/>
      </c>
      <c r="J20" s="85"/>
    </row>
    <row r="21" spans="1:10" s="86" customFormat="1" x14ac:dyDescent="0.25">
      <c r="A21" s="473">
        <v>10</v>
      </c>
      <c r="B21" s="84"/>
      <c r="C21" s="318" t="str">
        <f>IF($B21="","",VLOOKUP($B21,LookupTables!$B$3:$N$172,5,FALSE))</f>
        <v/>
      </c>
      <c r="D21" s="460" t="str">
        <f>IF($B21="","",VLOOKUP($B21,LookupTables!$B$3:$N$172,6,FALSE))</f>
        <v/>
      </c>
      <c r="E21" s="318" t="str">
        <f>IF($B21="","",VLOOKUP($B21,LookupTables!$B$3:$N$172,7,FALSE))</f>
        <v/>
      </c>
      <c r="F21" s="318" t="str">
        <f>IF($B21="","",VLOOKUP($B21,LookupTables!$B$3:$N$172,8,FALSE))</f>
        <v/>
      </c>
      <c r="G21" s="318" t="str">
        <f>IF($B21="","",VLOOKUP($B21,LookupTables!$B$3:$N$172,9,FALSE))</f>
        <v/>
      </c>
      <c r="H21" s="318" t="str">
        <f>IF($B21="","",VLOOKUP($B21,LookupTables!$B$3:$N$172,10,FALSE))</f>
        <v/>
      </c>
      <c r="I21" s="423" t="str">
        <f>IF($B21="","",VLOOKUP($B21,LookupTables!$B$3:$N$172,11,FALSE))</f>
        <v/>
      </c>
      <c r="J21" s="85"/>
    </row>
    <row r="22" spans="1:10" s="86" customFormat="1" x14ac:dyDescent="0.25">
      <c r="A22" s="473">
        <v>11</v>
      </c>
      <c r="B22" s="84"/>
      <c r="C22" s="318" t="str">
        <f>IF($B22="","",VLOOKUP($B22,LookupTables!$B$3:$N$172,5,FALSE))</f>
        <v/>
      </c>
      <c r="D22" s="460" t="str">
        <f>IF($B22="","",VLOOKUP($B22,LookupTables!$B$3:$N$172,6,FALSE))</f>
        <v/>
      </c>
      <c r="E22" s="318" t="str">
        <f>IF($B22="","",VLOOKUP($B22,LookupTables!$B$3:$N$172,7,FALSE))</f>
        <v/>
      </c>
      <c r="F22" s="318" t="str">
        <f>IF($B22="","",VLOOKUP($B22,LookupTables!$B$3:$N$172,8,FALSE))</f>
        <v/>
      </c>
      <c r="G22" s="318" t="str">
        <f>IF($B22="","",VLOOKUP($B22,LookupTables!$B$3:$N$172,9,FALSE))</f>
        <v/>
      </c>
      <c r="H22" s="318" t="str">
        <f>IF($B22="","",VLOOKUP($B22,LookupTables!$B$3:$N$172,10,FALSE))</f>
        <v/>
      </c>
      <c r="I22" s="423" t="str">
        <f>IF($B22="","",VLOOKUP($B22,LookupTables!$B$3:$N$172,11,FALSE))</f>
        <v/>
      </c>
      <c r="J22" s="85"/>
    </row>
    <row r="23" spans="1:10" s="87" customFormat="1" x14ac:dyDescent="0.25">
      <c r="A23" s="473">
        <v>12</v>
      </c>
      <c r="B23" s="84"/>
      <c r="C23" s="318" t="str">
        <f>IF($B23="","",VLOOKUP($B23,LookupTables!$B$3:$N$172,5,FALSE))</f>
        <v/>
      </c>
      <c r="D23" s="460" t="str">
        <f>IF($B23="","",VLOOKUP($B23,LookupTables!$B$3:$N$172,6,FALSE))</f>
        <v/>
      </c>
      <c r="E23" s="318" t="str">
        <f>IF($B23="","",VLOOKUP($B23,LookupTables!$B$3:$N$172,7,FALSE))</f>
        <v/>
      </c>
      <c r="F23" s="318" t="str">
        <f>IF($B23="","",VLOOKUP($B23,LookupTables!$B$3:$N$172,8,FALSE))</f>
        <v/>
      </c>
      <c r="G23" s="318" t="str">
        <f>IF($B23="","",VLOOKUP($B23,LookupTables!$B$3:$N$172,9,FALSE))</f>
        <v/>
      </c>
      <c r="H23" s="318" t="str">
        <f>IF($B23="","",VLOOKUP($B23,LookupTables!$B$3:$N$172,10,FALSE))</f>
        <v/>
      </c>
      <c r="I23" s="423" t="str">
        <f>IF($B23="","",VLOOKUP($B23,LookupTables!$B$3:$N$172,11,FALSE))</f>
        <v/>
      </c>
      <c r="J23" s="85"/>
    </row>
    <row r="24" spans="1:10" s="86" customFormat="1" x14ac:dyDescent="0.25">
      <c r="A24" s="473">
        <v>13</v>
      </c>
      <c r="B24" s="84"/>
      <c r="C24" s="318" t="str">
        <f>IF($B24="","",VLOOKUP($B24,LookupTables!$B$3:$N$172,5,FALSE))</f>
        <v/>
      </c>
      <c r="D24" s="460" t="str">
        <f>IF($B24="","",VLOOKUP($B24,LookupTables!$B$3:$N$172,6,FALSE))</f>
        <v/>
      </c>
      <c r="E24" s="318" t="str">
        <f>IF($B24="","",VLOOKUP($B24,LookupTables!$B$3:$N$172,7,FALSE))</f>
        <v/>
      </c>
      <c r="F24" s="318" t="str">
        <f>IF($B24="","",VLOOKUP($B24,LookupTables!$B$3:$N$172,8,FALSE))</f>
        <v/>
      </c>
      <c r="G24" s="318" t="str">
        <f>IF($B24="","",VLOOKUP($B24,LookupTables!$B$3:$N$172,9,FALSE))</f>
        <v/>
      </c>
      <c r="H24" s="318" t="str">
        <f>IF($B24="","",VLOOKUP($B24,LookupTables!$B$3:$N$172,10,FALSE))</f>
        <v/>
      </c>
      <c r="I24" s="423" t="str">
        <f>IF($B24="","",VLOOKUP($B24,LookupTables!$B$3:$N$172,11,FALSE))</f>
        <v/>
      </c>
      <c r="J24" s="85"/>
    </row>
    <row r="25" spans="1:10" s="86" customFormat="1" x14ac:dyDescent="0.25">
      <c r="A25" s="473">
        <v>14</v>
      </c>
      <c r="B25" s="84"/>
      <c r="C25" s="318" t="str">
        <f>IF($B25="","",VLOOKUP($B25,LookupTables!$B$3:$N$172,5,FALSE))</f>
        <v/>
      </c>
      <c r="D25" s="460" t="str">
        <f>IF($B25="","",VLOOKUP($B25,LookupTables!$B$3:$N$172,6,FALSE))</f>
        <v/>
      </c>
      <c r="E25" s="318" t="str">
        <f>IF($B25="","",VLOOKUP($B25,LookupTables!$B$3:$N$172,7,FALSE))</f>
        <v/>
      </c>
      <c r="F25" s="318" t="str">
        <f>IF($B25="","",VLOOKUP($B25,LookupTables!$B$3:$N$172,8,FALSE))</f>
        <v/>
      </c>
      <c r="G25" s="318" t="str">
        <f>IF($B25="","",VLOOKUP($B25,LookupTables!$B$3:$N$172,9,FALSE))</f>
        <v/>
      </c>
      <c r="H25" s="318" t="str">
        <f>IF($B25="","",VLOOKUP($B25,LookupTables!$B$3:$N$172,10,FALSE))</f>
        <v/>
      </c>
      <c r="I25" s="423" t="str">
        <f>IF($B25="","",VLOOKUP($B25,LookupTables!$B$3:$N$172,11,FALSE))</f>
        <v/>
      </c>
      <c r="J25" s="85"/>
    </row>
    <row r="26" spans="1:10" s="87" customFormat="1" x14ac:dyDescent="0.25">
      <c r="A26" s="473">
        <v>15</v>
      </c>
      <c r="B26" s="84"/>
      <c r="C26" s="318" t="str">
        <f>IF($B26="","",VLOOKUP($B26,LookupTables!$B$3:$N$172,5,FALSE))</f>
        <v/>
      </c>
      <c r="D26" s="460" t="str">
        <f>IF($B26="","",VLOOKUP($B26,LookupTables!$B$3:$N$172,6,FALSE))</f>
        <v/>
      </c>
      <c r="E26" s="318" t="str">
        <f>IF($B26="","",VLOOKUP($B26,LookupTables!$B$3:$N$172,7,FALSE))</f>
        <v/>
      </c>
      <c r="F26" s="318" t="str">
        <f>IF($B26="","",VLOOKUP($B26,LookupTables!$B$3:$N$172,8,FALSE))</f>
        <v/>
      </c>
      <c r="G26" s="318" t="str">
        <f>IF($B26="","",VLOOKUP($B26,LookupTables!$B$3:$N$172,9,FALSE))</f>
        <v/>
      </c>
      <c r="H26" s="318" t="str">
        <f>IF($B26="","",VLOOKUP($B26,LookupTables!$B$3:$N$172,10,FALSE))</f>
        <v/>
      </c>
      <c r="I26" s="423" t="str">
        <f>IF($B26="","",VLOOKUP($B26,LookupTables!$B$3:$N$172,11,FALSE))</f>
        <v/>
      </c>
      <c r="J26" s="85"/>
    </row>
    <row r="27" spans="1:10" s="87" customFormat="1" x14ac:dyDescent="0.25">
      <c r="A27" s="473">
        <v>16</v>
      </c>
      <c r="B27" s="84"/>
      <c r="C27" s="318" t="str">
        <f>IF($B27="","",VLOOKUP($B27,LookupTables!$B$3:$N$172,5,FALSE))</f>
        <v/>
      </c>
      <c r="D27" s="460" t="str">
        <f>IF($B27="","",VLOOKUP($B27,LookupTables!$B$3:$N$172,6,FALSE))</f>
        <v/>
      </c>
      <c r="E27" s="318" t="str">
        <f>IF($B27="","",VLOOKUP($B27,LookupTables!$B$3:$N$172,7,FALSE))</f>
        <v/>
      </c>
      <c r="F27" s="318" t="str">
        <f>IF($B27="","",VLOOKUP($B27,LookupTables!$B$3:$N$172,8,FALSE))</f>
        <v/>
      </c>
      <c r="G27" s="318" t="str">
        <f>IF($B27="","",VLOOKUP($B27,LookupTables!$B$3:$N$172,9,FALSE))</f>
        <v/>
      </c>
      <c r="H27" s="318" t="str">
        <f>IF($B27="","",VLOOKUP($B27,LookupTables!$B$3:$N$172,10,FALSE))</f>
        <v/>
      </c>
      <c r="I27" s="423" t="str">
        <f>IF($B27="","",VLOOKUP($B27,LookupTables!$B$3:$N$172,11,FALSE))</f>
        <v/>
      </c>
      <c r="J27" s="85"/>
    </row>
    <row r="28" spans="1:10" s="86" customFormat="1" x14ac:dyDescent="0.25">
      <c r="A28" s="473">
        <v>17</v>
      </c>
      <c r="B28" s="84"/>
      <c r="C28" s="318" t="str">
        <f>IF($B28="","",VLOOKUP($B28,LookupTables!$B$3:$N$172,5,FALSE))</f>
        <v/>
      </c>
      <c r="D28" s="460" t="str">
        <f>IF($B28="","",VLOOKUP($B28,LookupTables!$B$3:$N$172,6,FALSE))</f>
        <v/>
      </c>
      <c r="E28" s="318" t="str">
        <f>IF($B28="","",VLOOKUP($B28,LookupTables!$B$3:$N$172,7,FALSE))</f>
        <v/>
      </c>
      <c r="F28" s="318" t="str">
        <f>IF($B28="","",VLOOKUP($B28,LookupTables!$B$3:$N$172,8,FALSE))</f>
        <v/>
      </c>
      <c r="G28" s="318" t="str">
        <f>IF($B28="","",VLOOKUP($B28,LookupTables!$B$3:$N$172,9,FALSE))</f>
        <v/>
      </c>
      <c r="H28" s="318" t="str">
        <f>IF($B28="","",VLOOKUP($B28,LookupTables!$B$3:$N$172,10,FALSE))</f>
        <v/>
      </c>
      <c r="I28" s="423" t="str">
        <f>IF($B28="","",VLOOKUP($B28,LookupTables!$B$3:$N$172,11,FALSE))</f>
        <v/>
      </c>
      <c r="J28" s="85"/>
    </row>
    <row r="29" spans="1:10" s="86" customFormat="1" x14ac:dyDescent="0.25">
      <c r="A29" s="473">
        <v>18</v>
      </c>
      <c r="B29" s="84"/>
      <c r="C29" s="318" t="str">
        <f>IF($B29="","",VLOOKUP($B29,LookupTables!$B$3:$N$172,5,FALSE))</f>
        <v/>
      </c>
      <c r="D29" s="460" t="str">
        <f>IF($B29="","",VLOOKUP($B29,LookupTables!$B$3:$N$172,6,FALSE))</f>
        <v/>
      </c>
      <c r="E29" s="318" t="str">
        <f>IF($B29="","",VLOOKUP($B29,LookupTables!$B$3:$N$172,7,FALSE))</f>
        <v/>
      </c>
      <c r="F29" s="318" t="str">
        <f>IF($B29="","",VLOOKUP($B29,LookupTables!$B$3:$N$172,8,FALSE))</f>
        <v/>
      </c>
      <c r="G29" s="318" t="str">
        <f>IF($B29="","",VLOOKUP($B29,LookupTables!$B$3:$N$172,9,FALSE))</f>
        <v/>
      </c>
      <c r="H29" s="318" t="str">
        <f>IF($B29="","",VLOOKUP($B29,LookupTables!$B$3:$N$172,10,FALSE))</f>
        <v/>
      </c>
      <c r="I29" s="423" t="str">
        <f>IF($B29="","",VLOOKUP($B29,LookupTables!$B$3:$N$172,11,FALSE))</f>
        <v/>
      </c>
      <c r="J29" s="85"/>
    </row>
    <row r="30" spans="1:10" s="86" customFormat="1" x14ac:dyDescent="0.25">
      <c r="A30" s="473">
        <v>19</v>
      </c>
      <c r="B30" s="84"/>
      <c r="C30" s="318" t="str">
        <f>IF($B30="","",VLOOKUP($B30,LookupTables!$B$3:$N$172,5,FALSE))</f>
        <v/>
      </c>
      <c r="D30" s="460" t="str">
        <f>IF($B30="","",VLOOKUP($B30,LookupTables!$B$3:$N$172,6,FALSE))</f>
        <v/>
      </c>
      <c r="E30" s="318" t="str">
        <f>IF($B30="","",VLOOKUP($B30,LookupTables!$B$3:$N$172,7,FALSE))</f>
        <v/>
      </c>
      <c r="F30" s="318" t="str">
        <f>IF($B30="","",VLOOKUP($B30,LookupTables!$B$3:$N$172,8,FALSE))</f>
        <v/>
      </c>
      <c r="G30" s="318" t="str">
        <f>IF($B30="","",VLOOKUP($B30,LookupTables!$B$3:$N$172,9,FALSE))</f>
        <v/>
      </c>
      <c r="H30" s="318" t="str">
        <f>IF($B30="","",VLOOKUP($B30,LookupTables!$B$3:$N$172,10,FALSE))</f>
        <v/>
      </c>
      <c r="I30" s="423" t="str">
        <f>IF($B30="","",VLOOKUP($B30,LookupTables!$B$3:$N$172,11,FALSE))</f>
        <v/>
      </c>
      <c r="J30" s="85"/>
    </row>
    <row r="31" spans="1:10" s="86" customFormat="1" x14ac:dyDescent="0.25">
      <c r="A31" s="473">
        <v>20</v>
      </c>
      <c r="B31" s="84"/>
      <c r="C31" s="318" t="str">
        <f>IF($B31="","",VLOOKUP($B31,LookupTables!$B$3:$N$172,5,FALSE))</f>
        <v/>
      </c>
      <c r="D31" s="460" t="str">
        <f>IF($B31="","",VLOOKUP($B31,LookupTables!$B$3:$N$172,6,FALSE))</f>
        <v/>
      </c>
      <c r="E31" s="318" t="str">
        <f>IF($B31="","",VLOOKUP($B31,LookupTables!$B$3:$N$172,7,FALSE))</f>
        <v/>
      </c>
      <c r="F31" s="318" t="str">
        <f>IF($B31="","",VLOOKUP($B31,LookupTables!$B$3:$N$172,8,FALSE))</f>
        <v/>
      </c>
      <c r="G31" s="318" t="str">
        <f>IF($B31="","",VLOOKUP($B31,LookupTables!$B$3:$N$172,9,FALSE))</f>
        <v/>
      </c>
      <c r="H31" s="318" t="str">
        <f>IF($B31="","",VLOOKUP($B31,LookupTables!$B$3:$N$172,10,FALSE))</f>
        <v/>
      </c>
      <c r="I31" s="423" t="str">
        <f>IF($B31="","",VLOOKUP($B31,LookupTables!$B$3:$N$172,11,FALSE))</f>
        <v/>
      </c>
      <c r="J31" s="85"/>
    </row>
    <row r="32" spans="1:10" s="87" customFormat="1" x14ac:dyDescent="0.25">
      <c r="A32" s="473">
        <v>21</v>
      </c>
      <c r="B32" s="84"/>
      <c r="C32" s="318" t="str">
        <f>IF($B32="","",VLOOKUP($B32,LookupTables!$B$3:$N$172,5,FALSE))</f>
        <v/>
      </c>
      <c r="D32" s="460" t="str">
        <f>IF($B32="","",VLOOKUP($B32,LookupTables!$B$3:$N$172,6,FALSE))</f>
        <v/>
      </c>
      <c r="E32" s="318" t="str">
        <f>IF($B32="","",VLOOKUP($B32,LookupTables!$B$3:$N$172,7,FALSE))</f>
        <v/>
      </c>
      <c r="F32" s="318" t="str">
        <f>IF($B32="","",VLOOKUP($B32,LookupTables!$B$3:$N$172,8,FALSE))</f>
        <v/>
      </c>
      <c r="G32" s="318" t="str">
        <f>IF($B32="","",VLOOKUP($B32,LookupTables!$B$3:$N$172,9,FALSE))</f>
        <v/>
      </c>
      <c r="H32" s="318" t="str">
        <f>IF($B32="","",VLOOKUP($B32,LookupTables!$B$3:$N$172,10,FALSE))</f>
        <v/>
      </c>
      <c r="I32" s="423" t="str">
        <f>IF($B32="","",VLOOKUP($B32,LookupTables!$B$3:$N$172,11,FALSE))</f>
        <v/>
      </c>
      <c r="J32" s="88"/>
    </row>
    <row r="33" spans="1:11" s="86" customFormat="1" x14ac:dyDescent="0.25">
      <c r="A33" s="473">
        <v>22</v>
      </c>
      <c r="B33" s="84"/>
      <c r="C33" s="318" t="str">
        <f>IF($B33="","",VLOOKUP($B33,LookupTables!$B$3:$N$172,5,FALSE))</f>
        <v/>
      </c>
      <c r="D33" s="460" t="str">
        <f>IF($B33="","",VLOOKUP($B33,LookupTables!$B$3:$N$172,6,FALSE))</f>
        <v/>
      </c>
      <c r="E33" s="318" t="str">
        <f>IF($B33="","",VLOOKUP($B33,LookupTables!$B$3:$N$172,7,FALSE))</f>
        <v/>
      </c>
      <c r="F33" s="318" t="str">
        <f>IF($B33="","",VLOOKUP($B33,LookupTables!$B$3:$N$172,8,FALSE))</f>
        <v/>
      </c>
      <c r="G33" s="318" t="str">
        <f>IF($B33="","",VLOOKUP($B33,LookupTables!$B$3:$N$172,9,FALSE))</f>
        <v/>
      </c>
      <c r="H33" s="318" t="str">
        <f>IF($B33="","",VLOOKUP($B33,LookupTables!$B$3:$N$172,10,FALSE))</f>
        <v/>
      </c>
      <c r="I33" s="423" t="str">
        <f>IF($B33="","",VLOOKUP($B33,LookupTables!$B$3:$N$172,11,FALSE))</f>
        <v/>
      </c>
      <c r="J33" s="85"/>
    </row>
    <row r="34" spans="1:11" x14ac:dyDescent="0.25">
      <c r="A34" s="473">
        <v>23</v>
      </c>
      <c r="B34" s="84"/>
      <c r="C34" s="318" t="str">
        <f>IF($B34="","",VLOOKUP($B34,LookupTables!$B$3:$N$172,5,FALSE))</f>
        <v/>
      </c>
      <c r="D34" s="460" t="str">
        <f>IF($B34="","",VLOOKUP($B34,LookupTables!$B$3:$N$172,6,FALSE))</f>
        <v/>
      </c>
      <c r="E34" s="318" t="str">
        <f>IF($B34="","",VLOOKUP($B34,LookupTables!$B$3:$N$172,7,FALSE))</f>
        <v/>
      </c>
      <c r="F34" s="318" t="str">
        <f>IF($B34="","",VLOOKUP($B34,LookupTables!$B$3:$N$172,8,FALSE))</f>
        <v/>
      </c>
      <c r="G34" s="318" t="str">
        <f>IF($B34="","",VLOOKUP($B34,LookupTables!$B$3:$N$172,9,FALSE))</f>
        <v/>
      </c>
      <c r="H34" s="318" t="str">
        <f>IF($B34="","",VLOOKUP($B34,LookupTables!$B$3:$N$172,10,FALSE))</f>
        <v/>
      </c>
      <c r="I34" s="423" t="str">
        <f>IF($B34="","",VLOOKUP($B34,LookupTables!$B$3:$N$172,11,FALSE))</f>
        <v/>
      </c>
      <c r="J34" s="76"/>
      <c r="K34" s="10"/>
    </row>
    <row r="35" spans="1:11" x14ac:dyDescent="0.25">
      <c r="A35" s="473">
        <v>24</v>
      </c>
      <c r="B35" s="84"/>
      <c r="C35" s="318" t="str">
        <f>IF($B35="","",VLOOKUP($B35,LookupTables!$B$3:$N$172,5,FALSE))</f>
        <v/>
      </c>
      <c r="D35" s="460" t="str">
        <f>IF($B35="","",VLOOKUP($B35,LookupTables!$B$3:$N$172,6,FALSE))</f>
        <v/>
      </c>
      <c r="E35" s="318" t="str">
        <f>IF($B35="","",VLOOKUP($B35,LookupTables!$B$3:$N$172,7,FALSE))</f>
        <v/>
      </c>
      <c r="F35" s="318" t="str">
        <f>IF($B35="","",VLOOKUP($B35,LookupTables!$B$3:$N$172,8,FALSE))</f>
        <v/>
      </c>
      <c r="G35" s="318" t="str">
        <f>IF($B35="","",VLOOKUP($B35,LookupTables!$B$3:$N$172,9,FALSE))</f>
        <v/>
      </c>
      <c r="H35" s="318" t="str">
        <f>IF($B35="","",VLOOKUP($B35,LookupTables!$B$3:$N$172,10,FALSE))</f>
        <v/>
      </c>
      <c r="I35" s="423" t="str">
        <f>IF($B35="","",VLOOKUP($B35,LookupTables!$B$3:$N$172,11,FALSE))</f>
        <v/>
      </c>
      <c r="J35" s="76"/>
      <c r="K35" s="10"/>
    </row>
    <row r="36" spans="1:11" x14ac:dyDescent="0.25">
      <c r="A36" s="473">
        <v>25</v>
      </c>
      <c r="B36" s="84"/>
      <c r="C36" s="318" t="str">
        <f>IF($B36="","",VLOOKUP($B36,LookupTables!$B$3:$N$172,5,FALSE))</f>
        <v/>
      </c>
      <c r="D36" s="460" t="str">
        <f>IF($B36="","",VLOOKUP($B36,LookupTables!$B$3:$N$172,6,FALSE))</f>
        <v/>
      </c>
      <c r="E36" s="318" t="str">
        <f>IF($B36="","",VLOOKUP($B36,LookupTables!$B$3:$N$172,7,FALSE))</f>
        <v/>
      </c>
      <c r="F36" s="318" t="str">
        <f>IF($B36="","",VLOOKUP($B36,LookupTables!$B$3:$N$172,8,FALSE))</f>
        <v/>
      </c>
      <c r="G36" s="318" t="str">
        <f>IF($B36="","",VLOOKUP($B36,LookupTables!$B$3:$N$172,9,FALSE))</f>
        <v/>
      </c>
      <c r="H36" s="318" t="str">
        <f>IF($B36="","",VLOOKUP($B36,LookupTables!$B$3:$N$172,10,FALSE))</f>
        <v/>
      </c>
      <c r="I36" s="423" t="str">
        <f>IF($B36="","",VLOOKUP($B36,LookupTables!$B$3:$N$172,11,FALSE))</f>
        <v/>
      </c>
      <c r="J36" s="76"/>
      <c r="K36" s="10"/>
    </row>
    <row r="37" spans="1:11" x14ac:dyDescent="0.25">
      <c r="A37" s="473">
        <v>26</v>
      </c>
      <c r="B37" s="84"/>
      <c r="C37" s="318" t="str">
        <f>IF($B37="","",VLOOKUP($B37,LookupTables!$B$3:$N$172,5,FALSE))</f>
        <v/>
      </c>
      <c r="D37" s="460" t="str">
        <f>IF($B37="","",VLOOKUP($B37,LookupTables!$B$3:$N$172,6,FALSE))</f>
        <v/>
      </c>
      <c r="E37" s="318" t="str">
        <f>IF($B37="","",VLOOKUP($B37,LookupTables!$B$3:$N$172,7,FALSE))</f>
        <v/>
      </c>
      <c r="F37" s="318" t="str">
        <f>IF($B37="","",VLOOKUP($B37,LookupTables!$B$3:$N$172,8,FALSE))</f>
        <v/>
      </c>
      <c r="G37" s="318" t="str">
        <f>IF($B37="","",VLOOKUP($B37,LookupTables!$B$3:$N$172,9,FALSE))</f>
        <v/>
      </c>
      <c r="H37" s="318" t="str">
        <f>IF($B37="","",VLOOKUP($B37,LookupTables!$B$3:$N$172,10,FALSE))</f>
        <v/>
      </c>
      <c r="I37" s="423" t="str">
        <f>IF($B37="","",VLOOKUP($B37,LookupTables!$B$3:$N$172,11,FALSE))</f>
        <v/>
      </c>
      <c r="J37" s="76"/>
      <c r="K37" s="10"/>
    </row>
    <row r="38" spans="1:11" x14ac:dyDescent="0.25">
      <c r="A38" s="473">
        <v>27</v>
      </c>
      <c r="B38" s="84"/>
      <c r="C38" s="318" t="str">
        <f>IF($B38="","",VLOOKUP($B38,LookupTables!$B$3:$N$172,5,FALSE))</f>
        <v/>
      </c>
      <c r="D38" s="460" t="str">
        <f>IF($B38="","",VLOOKUP($B38,LookupTables!$B$3:$N$172,6,FALSE))</f>
        <v/>
      </c>
      <c r="E38" s="318" t="str">
        <f>IF($B38="","",VLOOKUP($B38,LookupTables!$B$3:$N$172,7,FALSE))</f>
        <v/>
      </c>
      <c r="F38" s="318" t="str">
        <f>IF($B38="","",VLOOKUP($B38,LookupTables!$B$3:$N$172,8,FALSE))</f>
        <v/>
      </c>
      <c r="G38" s="318" t="str">
        <f>IF($B38="","",VLOOKUP($B38,LookupTables!$B$3:$N$172,9,FALSE))</f>
        <v/>
      </c>
      <c r="H38" s="318" t="str">
        <f>IF($B38="","",VLOOKUP($B38,LookupTables!$B$3:$N$172,10,FALSE))</f>
        <v/>
      </c>
      <c r="I38" s="423" t="str">
        <f>IF($B38="","",VLOOKUP($B38,LookupTables!$B$3:$N$172,11,FALSE))</f>
        <v/>
      </c>
      <c r="J38" s="76"/>
      <c r="K38" s="10"/>
    </row>
    <row r="39" spans="1:11" x14ac:dyDescent="0.25">
      <c r="A39" s="473">
        <v>28</v>
      </c>
      <c r="B39" s="84"/>
      <c r="C39" s="318" t="str">
        <f>IF($B39="","",VLOOKUP($B39,LookupTables!$B$3:$N$172,5,FALSE))</f>
        <v/>
      </c>
      <c r="D39" s="460" t="str">
        <f>IF($B39="","",VLOOKUP($B39,LookupTables!$B$3:$N$172,6,FALSE))</f>
        <v/>
      </c>
      <c r="E39" s="318" t="str">
        <f>IF($B39="","",VLOOKUP($B39,LookupTables!$B$3:$N$172,7,FALSE))</f>
        <v/>
      </c>
      <c r="F39" s="318" t="str">
        <f>IF($B39="","",VLOOKUP($B39,LookupTables!$B$3:$N$172,8,FALSE))</f>
        <v/>
      </c>
      <c r="G39" s="318" t="str">
        <f>IF($B39="","",VLOOKUP($B39,LookupTables!$B$3:$N$172,9,FALSE))</f>
        <v/>
      </c>
      <c r="H39" s="318" t="str">
        <f>IF($B39="","",VLOOKUP($B39,LookupTables!$B$3:$N$172,10,FALSE))</f>
        <v/>
      </c>
      <c r="I39" s="423" t="str">
        <f>IF($B39="","",VLOOKUP($B39,LookupTables!$B$3:$N$172,11,FALSE))</f>
        <v/>
      </c>
      <c r="J39" s="76"/>
      <c r="K39" s="10"/>
    </row>
    <row r="40" spans="1:11" x14ac:dyDescent="0.25">
      <c r="A40" s="473">
        <v>29</v>
      </c>
      <c r="B40" s="84"/>
      <c r="C40" s="318" t="str">
        <f>IF($B40="","",VLOOKUP($B40,LookupTables!$B$3:$N$172,5,FALSE))</f>
        <v/>
      </c>
      <c r="D40" s="460" t="str">
        <f>IF($B40="","",VLOOKUP($B40,LookupTables!$B$3:$N$172,6,FALSE))</f>
        <v/>
      </c>
      <c r="E40" s="318" t="str">
        <f>IF($B40="","",VLOOKUP($B40,LookupTables!$B$3:$N$172,7,FALSE))</f>
        <v/>
      </c>
      <c r="F40" s="318" t="str">
        <f>IF($B40="","",VLOOKUP($B40,LookupTables!$B$3:$N$172,8,FALSE))</f>
        <v/>
      </c>
      <c r="G40" s="318" t="str">
        <f>IF($B40="","",VLOOKUP($B40,LookupTables!$B$3:$N$172,9,FALSE))</f>
        <v/>
      </c>
      <c r="H40" s="318" t="str">
        <f>IF($B40="","",VLOOKUP($B40,LookupTables!$B$3:$N$172,10,FALSE))</f>
        <v/>
      </c>
      <c r="I40" s="423" t="str">
        <f>IF($B40="","",VLOOKUP($B40,LookupTables!$B$3:$N$172,11,FALSE))</f>
        <v/>
      </c>
      <c r="J40" s="76"/>
      <c r="K40" s="10"/>
    </row>
    <row r="41" spans="1:11" x14ac:dyDescent="0.25">
      <c r="A41" s="473">
        <v>30</v>
      </c>
      <c r="B41" s="84"/>
      <c r="C41" s="318" t="str">
        <f>IF($B41="","",VLOOKUP($B41,LookupTables!$B$3:$N$172,5,FALSE))</f>
        <v/>
      </c>
      <c r="D41" s="460" t="str">
        <f>IF($B41="","",VLOOKUP($B41,LookupTables!$B$3:$N$172,6,FALSE))</f>
        <v/>
      </c>
      <c r="E41" s="318" t="str">
        <f>IF($B41="","",VLOOKUP($B41,LookupTables!$B$3:$N$172,7,FALSE))</f>
        <v/>
      </c>
      <c r="F41" s="318" t="str">
        <f>IF($B41="","",VLOOKUP($B41,LookupTables!$B$3:$N$172,8,FALSE))</f>
        <v/>
      </c>
      <c r="G41" s="318" t="str">
        <f>IF($B41="","",VLOOKUP($B41,LookupTables!$B$3:$N$172,9,FALSE))</f>
        <v/>
      </c>
      <c r="H41" s="318" t="str">
        <f>IF($B41="","",VLOOKUP($B41,LookupTables!$B$3:$N$172,10,FALSE))</f>
        <v/>
      </c>
      <c r="I41" s="423" t="str">
        <f>IF($B41="","",VLOOKUP($B41,LookupTables!$B$3:$N$172,11,FALSE))</f>
        <v/>
      </c>
      <c r="J41" s="76"/>
      <c r="K41" s="10"/>
    </row>
    <row r="42" spans="1:11" x14ac:dyDescent="0.25">
      <c r="A42" s="473">
        <v>31</v>
      </c>
      <c r="B42" s="84"/>
      <c r="C42" s="318" t="str">
        <f>IF($B42="","",VLOOKUP($B42,LookupTables!$B$3:$N$172,5,FALSE))</f>
        <v/>
      </c>
      <c r="D42" s="460" t="str">
        <f>IF($B42="","",VLOOKUP($B42,LookupTables!$B$3:$N$172,6,FALSE))</f>
        <v/>
      </c>
      <c r="E42" s="318" t="str">
        <f>IF($B42="","",VLOOKUP($B42,LookupTables!$B$3:$N$172,7,FALSE))</f>
        <v/>
      </c>
      <c r="F42" s="318" t="str">
        <f>IF($B42="","",VLOOKUP($B42,LookupTables!$B$3:$N$172,8,FALSE))</f>
        <v/>
      </c>
      <c r="G42" s="318" t="str">
        <f>IF($B42="","",VLOOKUP($B42,LookupTables!$B$3:$N$172,9,FALSE))</f>
        <v/>
      </c>
      <c r="H42" s="318" t="str">
        <f>IF($B42="","",VLOOKUP($B42,LookupTables!$B$3:$N$172,10,FALSE))</f>
        <v/>
      </c>
      <c r="I42" s="423" t="str">
        <f>IF($B42="","",VLOOKUP($B42,LookupTables!$B$3:$N$172,11,FALSE))</f>
        <v/>
      </c>
      <c r="J42" s="76"/>
      <c r="K42" s="10"/>
    </row>
    <row r="43" spans="1:11" x14ac:dyDescent="0.25">
      <c r="A43" s="473">
        <v>32</v>
      </c>
      <c r="B43" s="84"/>
      <c r="C43" s="318" t="str">
        <f>IF($B43="","",VLOOKUP($B43,LookupTables!$B$3:$N$172,5,FALSE))</f>
        <v/>
      </c>
      <c r="D43" s="460" t="str">
        <f>IF($B43="","",VLOOKUP($B43,LookupTables!$B$3:$N$172,6,FALSE))</f>
        <v/>
      </c>
      <c r="E43" s="318" t="str">
        <f>IF($B43="","",VLOOKUP($B43,LookupTables!$B$3:$N$172,7,FALSE))</f>
        <v/>
      </c>
      <c r="F43" s="318" t="str">
        <f>IF($B43="","",VLOOKUP($B43,LookupTables!$B$3:$N$172,8,FALSE))</f>
        <v/>
      </c>
      <c r="G43" s="318" t="str">
        <f>IF($B43="","",VLOOKUP($B43,LookupTables!$B$3:$N$172,9,FALSE))</f>
        <v/>
      </c>
      <c r="H43" s="318" t="str">
        <f>IF($B43="","",VLOOKUP($B43,LookupTables!$B$3:$N$172,10,FALSE))</f>
        <v/>
      </c>
      <c r="I43" s="423" t="str">
        <f>IF($B43="","",VLOOKUP($B43,LookupTables!$B$3:$N$172,11,FALSE))</f>
        <v/>
      </c>
      <c r="J43" s="76"/>
      <c r="K43" s="10"/>
    </row>
    <row r="44" spans="1:11" x14ac:dyDescent="0.25">
      <c r="A44" s="473">
        <v>33</v>
      </c>
      <c r="B44" s="84"/>
      <c r="C44" s="318" t="str">
        <f>IF($B44="","",VLOOKUP($B44,LookupTables!$B$3:$N$172,5,FALSE))</f>
        <v/>
      </c>
      <c r="D44" s="460" t="str">
        <f>IF($B44="","",VLOOKUP($B44,LookupTables!$B$3:$N$172,6,FALSE))</f>
        <v/>
      </c>
      <c r="E44" s="318" t="str">
        <f>IF($B44="","",VLOOKUP($B44,LookupTables!$B$3:$N$172,7,FALSE))</f>
        <v/>
      </c>
      <c r="F44" s="318" t="str">
        <f>IF($B44="","",VLOOKUP($B44,LookupTables!$B$3:$N$172,8,FALSE))</f>
        <v/>
      </c>
      <c r="G44" s="318" t="str">
        <f>IF($B44="","",VLOOKUP($B44,LookupTables!$B$3:$N$172,9,FALSE))</f>
        <v/>
      </c>
      <c r="H44" s="318" t="str">
        <f>IF($B44="","",VLOOKUP($B44,LookupTables!$B$3:$N$172,10,FALSE))</f>
        <v/>
      </c>
      <c r="I44" s="423" t="str">
        <f>IF($B44="","",VLOOKUP($B44,LookupTables!$B$3:$N$172,11,FALSE))</f>
        <v/>
      </c>
      <c r="J44" s="76"/>
      <c r="K44" s="10"/>
    </row>
    <row r="45" spans="1:11" x14ac:dyDescent="0.25">
      <c r="A45" s="473">
        <v>34</v>
      </c>
      <c r="B45" s="84"/>
      <c r="C45" s="318" t="str">
        <f>IF($B45="","",VLOOKUP($B45,LookupTables!$B$3:$N$172,5,FALSE))</f>
        <v/>
      </c>
      <c r="D45" s="460" t="str">
        <f>IF($B45="","",VLOOKUP($B45,LookupTables!$B$3:$N$172,6,FALSE))</f>
        <v/>
      </c>
      <c r="E45" s="318" t="str">
        <f>IF($B45="","",VLOOKUP($B45,LookupTables!$B$3:$N$172,7,FALSE))</f>
        <v/>
      </c>
      <c r="F45" s="318" t="str">
        <f>IF($B45="","",VLOOKUP($B45,LookupTables!$B$3:$N$172,8,FALSE))</f>
        <v/>
      </c>
      <c r="G45" s="318" t="str">
        <f>IF($B45="","",VLOOKUP($B45,LookupTables!$B$3:$N$172,9,FALSE))</f>
        <v/>
      </c>
      <c r="H45" s="318" t="str">
        <f>IF($B45="","",VLOOKUP($B45,LookupTables!$B$3:$N$172,10,FALSE))</f>
        <v/>
      </c>
      <c r="I45" s="423" t="str">
        <f>IF($B45="","",VLOOKUP($B45,LookupTables!$B$3:$N$172,11,FALSE))</f>
        <v/>
      </c>
      <c r="J45" s="76"/>
      <c r="K45" s="10"/>
    </row>
    <row r="46" spans="1:11" x14ac:dyDescent="0.25">
      <c r="A46" s="473">
        <v>35</v>
      </c>
      <c r="B46" s="84"/>
      <c r="C46" s="318" t="str">
        <f>IF($B46="","",VLOOKUP($B46,LookupTables!$B$3:$N$172,5,FALSE))</f>
        <v/>
      </c>
      <c r="D46" s="460" t="str">
        <f>IF($B46="","",VLOOKUP($B46,LookupTables!$B$3:$N$172,6,FALSE))</f>
        <v/>
      </c>
      <c r="E46" s="318" t="str">
        <f>IF($B46="","",VLOOKUP($B46,LookupTables!$B$3:$N$172,7,FALSE))</f>
        <v/>
      </c>
      <c r="F46" s="318" t="str">
        <f>IF($B46="","",VLOOKUP($B46,LookupTables!$B$3:$N$172,8,FALSE))</f>
        <v/>
      </c>
      <c r="G46" s="318" t="str">
        <f>IF($B46="","",VLOOKUP($B46,LookupTables!$B$3:$N$172,9,FALSE))</f>
        <v/>
      </c>
      <c r="H46" s="318" t="str">
        <f>IF($B46="","",VLOOKUP($B46,LookupTables!$B$3:$N$172,10,FALSE))</f>
        <v/>
      </c>
      <c r="I46" s="423" t="str">
        <f>IF($B46="","",VLOOKUP($B46,LookupTables!$B$3:$N$172,11,FALSE))</f>
        <v/>
      </c>
      <c r="J46" s="76"/>
      <c r="K46" s="10"/>
    </row>
    <row r="47" spans="1:11" x14ac:dyDescent="0.25">
      <c r="B47" s="10"/>
      <c r="C47" s="10"/>
      <c r="D47" s="10"/>
      <c r="E47" s="10"/>
      <c r="K47" s="10"/>
    </row>
    <row r="48" spans="1:11" x14ac:dyDescent="0.25">
      <c r="K48" s="10"/>
    </row>
  </sheetData>
  <sheetProtection algorithmName="SHA-512" hashValue="HDyOS8MQS2HgmjnTO0NHV2cOBrOyXJUsir1tOndAaSN9K+PSuBs4KOCSxwYghw0VVD7OdBRJdWwXEfbl5A8swQ==" saltValue="4jFdSy0Ra4CFWHHGDj8C+A==" spinCount="100000" sheet="1" objects="1" scenarios="1" formatCells="0" formatColumns="0" formatRows="0"/>
  <mergeCells count="4">
    <mergeCell ref="C4:D4"/>
    <mergeCell ref="C5:D5"/>
    <mergeCell ref="C6:D6"/>
    <mergeCell ref="C7:D7"/>
  </mergeCells>
  <conditionalFormatting sqref="B12:J46">
    <cfRule type="cellIs" dxfId="9" priority="84" operator="greaterThan">
      <formula>#REF!</formula>
    </cfRule>
  </conditionalFormatting>
  <pageMargins left="0.7" right="0.7" top="0.75" bottom="0.75" header="0.3" footer="0.3"/>
  <pageSetup scale="80" fitToHeight="0" orientation="landscape" horizontalDpi="300" verticalDpi="300" r:id="rId1"/>
  <headerFooter>
    <oddFooter>&amp;LWeights and Measures&amp;CPage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F472B13-0418-4CEA-AEF9-E0694028743B}">
          <x14:formula1>
            <xm:f>LookupTables!$B$3:$B$172</xm:f>
          </x14:formula1>
          <xm:sqref>B12:B46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169A3B451A6547A13B41C1BB0B6C9E" ma:contentTypeVersion="24" ma:contentTypeDescription="Create a new document." ma:contentTypeScope="" ma:versionID="83ec6d84139afea39ce9205491c0f785">
  <xsd:schema xmlns:xsd="http://www.w3.org/2001/XMLSchema" xmlns:xs="http://www.w3.org/2001/XMLSchema" xmlns:p="http://schemas.microsoft.com/office/2006/metadata/properties" xmlns:ns1="http://schemas.microsoft.com/sharepoint/v3" xmlns:ns2="9dd99a73-5057-4192-b603-0c7d22954171" xmlns:ns3="391eeb16-c6fa-45a0-a257-15c91795993b" targetNamespace="http://schemas.microsoft.com/office/2006/metadata/properties" ma:root="true" ma:fieldsID="85bb9889e0b45ddff6e1625a7298ca36" ns1:_="" ns2:_="" ns3:_="">
    <xsd:import namespace="http://schemas.microsoft.com/sharepoint/v3"/>
    <xsd:import namespace="9dd99a73-5057-4192-b603-0c7d22954171"/>
    <xsd:import namespace="391eeb16-c6fa-45a0-a257-15c91795993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ImageDescription"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d99a73-5057-4192-b603-0c7d22954171"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AutoTags" ma:index="6" nillable="true" ma:displayName="Tags" ma:internalName="MediaServiceAutoTags" ma:readOnly="true">
      <xsd:simpleType>
        <xsd:restriction base="dms:Text"/>
      </xsd:simpleType>
    </xsd:element>
    <xsd:element name="MediaServiceOCR" ma:index="7" nillable="true" ma:displayName="Extracted Text" ma:internalName="MediaServiceOCR" ma:readOnly="true">
      <xsd:simpleType>
        <xsd:restriction base="dms:Note">
          <xsd:maxLength value="255"/>
        </xsd:restriction>
      </xsd:simpleType>
    </xsd:element>
    <xsd:element name="MediaServiceGenerationTime" ma:index="8" nillable="true" ma:displayName="MediaServiceGenerationTime" ma:hidden="true" ma:internalName="MediaServiceGenerationTime" ma:readOnly="true">
      <xsd:simpleType>
        <xsd:restriction base="dms:Text"/>
      </xsd:simpleType>
    </xsd:element>
    <xsd:element name="MediaServiceEventHashCode" ma:index="9" nillable="true" ma:displayName="MediaServiceEventHashCode" ma:hidden="true" ma:internalName="MediaServiceEventHashCode" ma:readOnly="true">
      <xsd:simpleType>
        <xsd:restriction base="dms:Text"/>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ImageDescription" ma:index="22" nillable="true" ma:displayName="Image Description" ma:format="Dropdown" ma:internalName="ImageDescription">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1eeb16-c6fa-45a0-a257-15c91795993b" elementFormDefault="qualified">
    <xsd:import namespace="http://schemas.microsoft.com/office/2006/documentManagement/types"/>
    <xsd:import namespace="http://schemas.microsoft.com/office/infopath/2007/PartnerControls"/>
    <xsd:element name="SharedWithUsers" ma:index="1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e1a5b0a-8079-4f3f-b6fa-91878c157e59}" ma:internalName="TaxCatchAll" ma:showField="CatchAllData" ma:web="391eeb16-c6fa-45a0-a257-15c9179599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d99a73-5057-4192-b603-0c7d22954171">
      <Terms xmlns="http://schemas.microsoft.com/office/infopath/2007/PartnerControls"/>
    </lcf76f155ced4ddcb4097134ff3c332f>
    <TaxCatchAll xmlns="391eeb16-c6fa-45a0-a257-15c91795993b" xsi:nil="true"/>
    <_ip_UnifiedCompliancePolicyUIAction xmlns="http://schemas.microsoft.com/sharepoint/v3" xsi:nil="true"/>
    <_ip_UnifiedCompliancePolicyProperties xmlns="http://schemas.microsoft.com/sharepoint/v3" xsi:nil="true"/>
    <ImageDescription xmlns="9dd99a73-5057-4192-b603-0c7d22954171" xsi:nil="true"/>
  </documentManagement>
</p:properties>
</file>

<file path=customXml/item4.xml>��< ? x m l   v e r s i o n = " 1 . 0 "   e n c o d i n g = " u t f - 1 6 " ? > < D a t a M a s h u p   x m l n s = " h t t p : / / s c h e m a s . m i c r o s o f t . c o m / D a t a M a s h u p " > A A A A A O A D A A B Q S w M E F A A C A A g A Z 3 1 s W k b r R b 2 k A A A A 9 g A A A B I A H A B D b 2 5 m a W c v U G F j a 2 F n Z S 5 4 b W w g o h g A K K A U A A A A A A A A A A A A A A A A A A A A A A A A A A A A h Y + x D o I w G I R f h X S n h b I o + S m D q y Q m R O P a l I q N 8 G N o s b y b g 4 / k K 4 h R 1 M 3 x 7 r 5 L 7 u 7 X G + R j 2 w Q X 3 V v T Y U Z i G p F A o + o q g 3 V G B n c I F y Q X s J H q J G s d T D D a d L Q m I 0 f n z i l j 3 n v q E 9 r 1 N e N R F L N 9 s S 7 V U b c y N G i d R K X J p 1 X 9 b x E B u 9 c Y w W m c c M r 5 k k b A Z h M K g 1 + A T 3 u f 6 Y 8 J q 6 F x Q 6 + F x n B b A p s l s P c H 8 Q B Q S w M E F A A C A A g A Z 3 1 s 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d 9 b F o 1 t r H P 2 g A A A E s B A A A T A B w A R m 9 y b X V s Y X M v U 2 V j d G l v b j E u b S C i G A A o o B Q A A A A A A A A A A A A A A A A A A A A A A A A A A A B 9 j 0 F r w k A Q h e + B / I d h v S Q Q g t p b J Q e J F L y U Q t p T E s o 4 G X U h 7 p a d U Z H S / 9 6 V 0 J v 0 X Q Y e z M f 3 h E m t d 9 B M d 7 F K k z S R I w Y e Y G b W Q e 0 e S W H r L u z U h 5 u B C k b W N I G Y x p 8 D c W z W R C x S b l B x h 8 L Z i x 2 5 r L 3 T + C S Z q Z + 7 D + E g 3 d W 5 p 2 7 j r 2 7 0 O E j 3 F v z e k m V H N 3 h n U e s O 8 M e A b I L C c r 6 Y 5 5 A t 8 x K J h p 3 J C 2 j r w K j 8 i h d 7 w L t 2 B H 1 x d G W p N J y 5 z 4 t J c G Y + H 0 + Y z L / b h o 5 8 w s q Y Y q t 8 q h 4 N 7 n / a u 1 O f J t b 9 R 1 3 9 A l B L A Q I t A B Q A A g A I A G d 9 b F p G 6 0 W 9 p A A A A P Y A A A A S A A A A A A A A A A A A A A A A A A A A A A B D b 2 5 m a W c v U G F j a 2 F n Z S 5 4 b W x Q S w E C L Q A U A A I A C A B n f W x a D 8 r p q 6 Q A A A D p A A A A E w A A A A A A A A A A A A A A A A D w A A A A W 0 N v b n R l b n R f V H l w Z X N d L n h t b F B L A Q I t A B Q A A g A I A G d 9 b F o 1 t r H P 2 g A A A E s B A A A T A A A A A A A A A A A A A A A A A O E B A A B G b 3 J t d W x h c y 9 T Z W N 0 a W 9 u M S 5 t U E s F B g A A A A A D A A M A w g A A A A g 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n w P A A A A A A A A W g 8 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B c n R p Z m F j d C U y M E l u d m V u d G 9 y e T w v S X R l b V B h d G g + P C 9 J d G V t T G 9 j Y X R p b 2 4 + P F N 0 Y W J s Z U V u d H J p Z X M + P E V u d H J 5 I F R 5 c G U 9 I k l z U H J p d m F 0 Z S I g V m F s d W U 9 I m w w I i A v P j x F b n R y e S B U e X B l P S J R d W V y e U l E I i B W Y W x 1 Z T 0 i c z M 5 Y 2 Y z Y T l l L T d j Z j A t N G U w Z S 0 4 O D A w L T Y y Z T Z k Y j M y O W F m Z 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R m l s b F R h c m d l d C I g V m F s d W U 9 I n N B c n R p Z m F j d F 9 J b n Z l b n R v c n k i I C 8 + P E V u d H J 5 I F R 5 c G U 9 I k Z p b G x l Z E N v b X B s Z X R l U m V z d W x 0 V G 9 X b 3 J r c 2 h l Z X Q i I F Z h b H V l P S J s M S I g L z 4 8 R W 5 0 c n k g V H l w Z T 0 i U m V s Y X R p b 2 5 z a G l w S W 5 m b 0 N v b n R h a W 5 l c i I g V m F s d W U 9 I n N 7 J n F 1 b 3 Q 7 Y 2 9 s d W 1 u Q 2 9 1 b n Q m c X V v d D s 6 M T E s J n F 1 b 3 Q 7 a 2 V 5 Q 2 9 s d W 1 u T m F t Z X M m c X V v d D s 6 W 1 0 s J n F 1 b 3 Q 7 c X V l c n l S Z W x h d G l v b n N o a X B z J n F 1 b 3 Q 7 O l t d L C Z x d W 9 0 O 2 N v b H V t b k l k Z W 5 0 a X R p Z X M m c X V v d D s 6 W y Z x d W 9 0 O 1 N l Y 3 R p b 2 4 x L 0 F y d G l m Y W N 0 I E l u d m V u d G 9 y e S 9 B d X R v U m V t b 3 Z l Z E N v b H V t b n M x L n t J R C w w f S Z x d W 9 0 O y w m c X V v d D t T Z W N 0 a W 9 u M S 9 B c n R p Z m F j d C B J b n Z l b n R v c n k v Q X V 0 b 1 J l b W 9 2 Z W R D b 2 x 1 b W 5 z M S 5 7 T W F u d W Z h Y 3 R 1 c m V y L D F 9 J n F 1 b 3 Q 7 L C Z x d W 9 0 O 1 N l Y 3 R p b 2 4 x L 0 F y d G l m Y W N 0 I E l u d m V u d G 9 y e S 9 B d X R v U m V t b 3 Z l Z E N v b H V t b n M x L n t E Z X N j c m l w d G l v b i w y f S Z x d W 9 0 O y w m c X V v d D t T Z W N 0 a W 9 u M S 9 B c n R p Z m F j d C B J b n Z l b n R v c n k v Q X V 0 b 1 J l b W 9 2 Z W R D b 2 x 1 b W 5 z M S 5 7 T W 9 k Z W w g T n V t Y m V y L D N 9 J n F 1 b 3 Q 7 L C Z x d W 9 0 O 1 N l Y 3 R p b 2 4 x L 0 F y d G l m Y W N 0 I E l u d m V u d G 9 y e S 9 B d X R v U m V t b 3 Z l Z E N v b H V t b n M x L n t T Z X J p Y W w g T n V t Y m V y L D R 9 J n F 1 b 3 Q 7 L C Z x d W 9 0 O 1 N l Y 3 R p b 2 4 x L 0 F y d G l m Y W N 0 I E l u d m V u d G 9 y e S 9 B d X R v U m V t b 3 Z l Z E N v b H V t b n M x L n t D d X J y Z W 5 0 I E x v Y 2 F 0 a W 9 u L D V 9 J n F 1 b 3 Q 7 L C Z x d W 9 0 O 1 N l Y 3 R p b 2 4 x L 0 F y d G l m Y W N 0 I E l u d m V u d G 9 y e S 9 B d X R v U m V t b 3 Z l Z E N v b H V t b n M x L n t P d 2 5 l c i w 2 f S Z x d W 9 0 O y w m c X V v d D t T Z W N 0 a W 9 u M S 9 B c n R p Z m F j d C B J b n Z l b n R v c n k v Q X V 0 b 1 J l b W 9 2 Z W R D b 2 x 1 b W 5 z M S 5 7 T m 9 0 Z X M s N 3 0 m c X V v d D s s J n F 1 b 3 Q 7 U 2 V j d G l v b j E v Q X J 0 a W Z h Y 3 Q g S W 5 2 Z W 5 0 b 3 J 5 L 0 F 1 d G 9 S Z W 1 v d m V k Q 2 9 s d W 1 u c z E u e 0 Z p b G U g b m F t Z S B j b 2 5 0 Y W l u a W 5 n I F J l Z i B 2 Y W x 1 Z S B c d T A w M j Y g V S w 4 f S Z x d W 9 0 O y w m c X V v d D t T Z W N 0 a W 9 u M S 9 B c n R p Z m F j d C B J b n Z l b n R v c n k v Q X V 0 b 1 J l b W 9 2 Z W R D b 2 x 1 b W 5 z M S 5 7 U m V w b G F j Z W 1 l b n Q g V m F s d W U s O X 0 m c X V v d D s s J n F 1 b 3 Q 7 U 2 V j d G l v b j E v Q X J 0 a W Z h Y 3 Q g S W 5 2 Z W 5 0 b 3 J 5 L 0 F 1 d G 9 S Z W 1 v d m V k Q 2 9 s d W 1 u c z E u e 0 R l b n N p d H k s M T B 9 J n F 1 b 3 Q 7 X S w m c X V v d D t D b 2 x 1 b W 5 D b 3 V u d C Z x d W 9 0 O z o x M S w m c X V v d D t L Z X l D b 2 x 1 b W 5 O Y W 1 l c y Z x d W 9 0 O z p b X S w m c X V v d D t D b 2 x 1 b W 5 J Z G V u d G l 0 a W V z J n F 1 b 3 Q 7 O l s m c X V v d D t T Z W N 0 a W 9 u M S 9 B c n R p Z m F j d C B J b n Z l b n R v c n k v Q X V 0 b 1 J l b W 9 2 Z W R D b 2 x 1 b W 5 z M S 5 7 S U Q s M H 0 m c X V v d D s s J n F 1 b 3 Q 7 U 2 V j d G l v b j E v Q X J 0 a W Z h Y 3 Q g S W 5 2 Z W 5 0 b 3 J 5 L 0 F 1 d G 9 S Z W 1 v d m V k Q 2 9 s d W 1 u c z E u e 0 1 h b n V m Y W N 0 d X J l c i w x f S Z x d W 9 0 O y w m c X V v d D t T Z W N 0 a W 9 u M S 9 B c n R p Z m F j d C B J b n Z l b n R v c n k v Q X V 0 b 1 J l b W 9 2 Z W R D b 2 x 1 b W 5 z M S 5 7 R G V z Y 3 J p c H R p b 2 4 s M n 0 m c X V v d D s s J n F 1 b 3 Q 7 U 2 V j d G l v b j E v Q X J 0 a W Z h Y 3 Q g S W 5 2 Z W 5 0 b 3 J 5 L 0 F 1 d G 9 S Z W 1 v d m V k Q 2 9 s d W 1 u c z E u e 0 1 v Z G V s I E 5 1 b W J l c i w z f S Z x d W 9 0 O y w m c X V v d D t T Z W N 0 a W 9 u M S 9 B c n R p Z m F j d C B J b n Z l b n R v c n k v Q X V 0 b 1 J l b W 9 2 Z W R D b 2 x 1 b W 5 z M S 5 7 U 2 V y a W F s I E 5 1 b W J l c i w 0 f S Z x d W 9 0 O y w m c X V v d D t T Z W N 0 a W 9 u M S 9 B c n R p Z m F j d C B J b n Z l b n R v c n k v Q X V 0 b 1 J l b W 9 2 Z W R D b 2 x 1 b W 5 z M S 5 7 Q 3 V y c m V u d C B M b 2 N h d G l v b i w 1 f S Z x d W 9 0 O y w m c X V v d D t T Z W N 0 a W 9 u M S 9 B c n R p Z m F j d C B J b n Z l b n R v c n k v Q X V 0 b 1 J l b W 9 2 Z W R D b 2 x 1 b W 5 z M S 5 7 T 3 d u Z X I s N n 0 m c X V v d D s s J n F 1 b 3 Q 7 U 2 V j d G l v b j E v Q X J 0 a W Z h Y 3 Q g S W 5 2 Z W 5 0 b 3 J 5 L 0 F 1 d G 9 S Z W 1 v d m V k Q 2 9 s d W 1 u c z E u e 0 5 v d G V z L D d 9 J n F 1 b 3 Q 7 L C Z x d W 9 0 O 1 N l Y 3 R p b 2 4 x L 0 F y d G l m Y W N 0 I E l u d m V u d G 9 y e S 9 B d X R v U m V t b 3 Z l Z E N v b H V t b n M x L n t G a W x l I G 5 h b W U g Y 2 9 u d G F p b m l u Z y B S Z W Y g d m F s d W U g X H U w M D I 2 I F U s O H 0 m c X V v d D s s J n F 1 b 3 Q 7 U 2 V j d G l v b j E v Q X J 0 a W Z h Y 3 Q g S W 5 2 Z W 5 0 b 3 J 5 L 0 F 1 d G 9 S Z W 1 v d m V k Q 2 9 s d W 1 u c z E u e 1 J l c G x h Y 2 V t Z W 5 0 I F Z h b H V l L D l 9 J n F 1 b 3 Q 7 L C Z x d W 9 0 O 1 N l Y 3 R p b 2 4 x L 0 F y d G l m Y W N 0 I E l u d m V u d G 9 y e S 9 B d X R v U m V t b 3 Z l Z E N v b H V t b n M x L n t E Z W 5 z a X R 5 L D E w f S Z x d W 9 0 O 1 0 s J n F 1 b 3 Q 7 U m V s Y X R p b 2 5 z a G l w S W 5 m b y Z x d W 9 0 O z p b X X 0 i I C 8 + P E V u d H J 5 I F R 5 c G U 9 I k Z p b G x T d G F 0 d X M i I F Z h b H V l P S J z Q 2 9 t c G x l d G U i I C 8 + P E V u d H J 5 I F R 5 c G U 9 I k Z p b G x D b 2 x 1 b W 5 O Y W 1 l c y I g V m F s d W U 9 I n N b J n F 1 b 3 Q 7 S U Q m c X V v d D s s J n F 1 b 3 Q 7 T W F u d W Z h Y 3 R 1 c m V y J n F 1 b 3 Q 7 L C Z x d W 9 0 O 0 R l c 2 N y a X B 0 a W 9 u J n F 1 b 3 Q 7 L C Z x d W 9 0 O 0 1 v Z G V s I E 5 1 b W J l c i Z x d W 9 0 O y w m c X V v d D t T Z X J p Y W w g T n V t Y m V y J n F 1 b 3 Q 7 L C Z x d W 9 0 O 0 N 1 c n J l b n Q g T G 9 j Y X R p b 2 4 m c X V v d D s s J n F 1 b 3 Q 7 T 3 d u Z X I m c X V v d D s s J n F 1 b 3 Q 7 T m 9 0 Z X M m c X V v d D s s J n F 1 b 3 Q 7 R m l s Z S B u Y W 1 l I G N v b n R h a W 5 p b m c g U m V m I H Z h b H V l I F x 1 M D A y N i B V J n F 1 b 3 Q 7 L C Z x d W 9 0 O 1 J l c G x h Y 2 V t Z W 5 0 I F Z h b H V l J n F 1 b 3 Q 7 L C Z x d W 9 0 O 0 R l b n N p d H k m c X V v d D t d I i A v P j x F b n R y e S B U e X B l P S J G a W x s Q 2 9 s d W 1 u V H l w Z X M i I F Z h b H V l P S J z Q W d Z R 0 J n W U d C Z 1 l H Q m d Z P S I g L z 4 8 R W 5 0 c n k g V H l w Z T 0 i R m l s b E x h c 3 R V c G R h d G V k I i B W Y W x 1 Z T 0 i Z D I w M j U t M D M t M T J U M T k 6 M z c 6 M D c u O T E 5 M D M 0 O F o i I C 8 + P E V u d H J 5 I F R 5 c G U 9 I k Z p b G x F c n J v c k N v d W 5 0 I i B W Y W x 1 Z T 0 i b D A i I C 8 + P E V u d H J 5 I F R 5 c G U 9 I k Z p b G x F c n J v c k N v Z G U i I F Z h b H V l P S J z V W 5 r b m 9 3 b i I g L z 4 8 R W 5 0 c n k g V H l w Z T 0 i R m l s b E N v d W 5 0 I i B W Y W x 1 Z T 0 i b D Y w I i A v P j x F b n R y e S B U e X B l P S J B Z G R l Z F R v R G F 0 Y U 1 v Z G V s I i B W Y W x 1 Z T 0 i b D A i I C 8 + P C 9 T d G F i b G V F b n R y a W V z P j w v S X R l b T 4 8 S X R l b T 4 8 S X R l b U x v Y 2 F 0 a W 9 u P j x J d G V t V H l w Z T 5 G b 3 J t d W x h P C 9 J d G V t V H l w Z T 4 8 S X R l b V B h d G g + U 2 V j d G l v b j E v Q X J 0 a W Z h Y 3 Q l M j B J b n Z l b n R v c n k v U 2 9 1 c m N l P C 9 J d G V t U G F 0 a D 4 8 L 0 l 0 Z W 1 M b 2 N h d G l v b j 4 8 U 3 R h Y m x l R W 5 0 c m l l c y A v P j w v S X R l b T 4 8 S X R l b T 4 8 S X R l b U x v Y 2 F 0 a W 9 u P j x J d G V t V H l w Z T 5 G b 3 J t d W x h P C 9 J d G V t V H l w Z T 4 8 S X R l b V B h d G g + U 2 V j d G l v b j E v Q X J 0 a W Z h Y 3 Q l M j B J b n Z l b n R v c n k v X 0 F y d G l m Y W N 0 J T I w S W 5 2 Z W 5 0 b 3 J 5 P C 9 J d G V t U G F 0 a D 4 8 L 0 l 0 Z W 1 M b 2 N h d G l v b j 4 8 U 3 R h Y m x l R W 5 0 c m l l c y A v P j w v S X R l b T 4 8 L 0 l 0 Z W 1 z P j w v T G 9 j Y W x Q Y W N r Y W d l T W V 0 Y W R h d G F G a W x l P h Y A A A B Q S w U G A A A A A A A A A A A A A A A A A A A A A A A A 2 g A A A A E A A A D Q j J 3 f A R X R E Y x 6 A M B P w p f r A Q A A A N c C / p W H L o V E r p M Z 7 n O R 4 Y g A A A A A A g A A A A A A A 2 Y A A M A A A A A Q A A A A E V 0 G / g g h e f 7 b T X 6 t O L M a R A A A A A A E g A A A o A A A A B A A A A A F e j 6 y Q 6 g e W j M p C Q j 3 V x j t U A A A A D h j g E c K z e x b R k j f N k H 1 5 V W 3 5 / f e w f 9 f I + 9 P i y 3 M 6 M x o q v m 3 b S R y i i W Q X L n M P Y 5 i H t I J V G p 6 R s N v p j p b B E H r C s m w 4 M H I y R V i 9 K u p A 0 e 4 S 2 A A F A A A A C m i E I w v B D A g U D C 8 7 v v 5 S x K i v t T 1 < / D a t a M a s h u p > 
</file>

<file path=customXml/itemProps1.xml><?xml version="1.0" encoding="utf-8"?>
<ds:datastoreItem xmlns:ds="http://schemas.openxmlformats.org/officeDocument/2006/customXml" ds:itemID="{3F8EE814-ED40-4A20-957D-6359137110E1}">
  <ds:schemaRefs>
    <ds:schemaRef ds:uri="http://schemas.microsoft.com/sharepoint/v3/contenttype/forms"/>
  </ds:schemaRefs>
</ds:datastoreItem>
</file>

<file path=customXml/itemProps2.xml><?xml version="1.0" encoding="utf-8"?>
<ds:datastoreItem xmlns:ds="http://schemas.openxmlformats.org/officeDocument/2006/customXml" ds:itemID="{89D8379F-BDF1-4762-8B93-EE2ACA9FCC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dd99a73-5057-4192-b603-0c7d22954171"/>
    <ds:schemaRef ds:uri="391eeb16-c6fa-45a0-a257-15c9179599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CAFFBD-DCCF-4E49-8221-EF6ED39A81DE}">
  <ds:schemaRefs>
    <ds:schemaRef ds:uri="http://schemas.microsoft.com/office/2006/metadata/properties"/>
    <ds:schemaRef ds:uri="http://purl.org/dc/elements/1.1/"/>
    <ds:schemaRef ds:uri="http://schemas.microsoft.com/sharepoint/v3"/>
    <ds:schemaRef ds:uri="391eeb16-c6fa-45a0-a257-15c91795993b"/>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9dd99a73-5057-4192-b603-0c7d22954171"/>
    <ds:schemaRef ds:uri="http://www.w3.org/XML/1998/namespace"/>
    <ds:schemaRef ds:uri="http://purl.org/dc/dcmitype/"/>
  </ds:schemaRefs>
</ds:datastoreItem>
</file>

<file path=customXml/itemProps4.xml><?xml version="1.0" encoding="utf-8"?>
<ds:datastoreItem xmlns:ds="http://schemas.openxmlformats.org/officeDocument/2006/customXml" ds:itemID="{D17B4DEF-26D9-4867-B933-2D6B727573A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18</vt:i4>
      </vt:variant>
    </vt:vector>
  </HeadingPairs>
  <TitlesOfParts>
    <vt:vector size="32" baseType="lpstr">
      <vt:lpstr>Revision Data</vt:lpstr>
      <vt:lpstr>User Instructions</vt:lpstr>
      <vt:lpstr>Software-V&amp;V</vt:lpstr>
      <vt:lpstr>QMS Reference</vt:lpstr>
      <vt:lpstr>PTP1 Outline</vt:lpstr>
      <vt:lpstr>P1; Organize the PT</vt:lpstr>
      <vt:lpstr>P2; Objectives &amp; Details</vt:lpstr>
      <vt:lpstr>P3; Artifact &amp; Shipping</vt:lpstr>
      <vt:lpstr>P4; Addresses &amp; Contacts</vt:lpstr>
      <vt:lpstr>Receipt Form F08</vt:lpstr>
      <vt:lpstr>LookupTables</vt:lpstr>
      <vt:lpstr>O1; Coordinator Tracking</vt:lpstr>
      <vt:lpstr>O2; Coordinator Feedback</vt:lpstr>
      <vt:lpstr>R1; PT Report Cover</vt:lpstr>
      <vt:lpstr>'Receipt Form F08'!_Toc64906286</vt:lpstr>
      <vt:lpstr>'O1; Coordinator Tracking'!Print_Area</vt:lpstr>
      <vt:lpstr>'O2; Coordinator Feedback'!Print_Area</vt:lpstr>
      <vt:lpstr>'P1; Organize the PT'!Print_Area</vt:lpstr>
      <vt:lpstr>'P2; Objectives &amp; Details'!Print_Area</vt:lpstr>
      <vt:lpstr>'P3; Artifact &amp; Shipping'!Print_Area</vt:lpstr>
      <vt:lpstr>'P4; Addresses &amp; Contacts'!Print_Area</vt:lpstr>
      <vt:lpstr>'PTP1 Outline'!Print_Area</vt:lpstr>
      <vt:lpstr>'R1; PT Report Cover'!Print_Area</vt:lpstr>
      <vt:lpstr>'User Instructions'!Print_Area</vt:lpstr>
      <vt:lpstr>'O1; Coordinator Tracking'!Print_Titles</vt:lpstr>
      <vt:lpstr>'O2; Coordinator Feedback'!Print_Titles</vt:lpstr>
      <vt:lpstr>'P1; Organize the PT'!Print_Titles</vt:lpstr>
      <vt:lpstr>'P2; Objectives &amp; Details'!Print_Titles</vt:lpstr>
      <vt:lpstr>'P3; Artifact &amp; Shipping'!Print_Titles</vt:lpstr>
      <vt:lpstr>'P4; Addresses &amp; Contacts'!Print_Titles</vt:lpstr>
      <vt:lpstr>'Revision Data'!Print_Titles</vt:lpstr>
      <vt:lpstr>'Software-V&amp;V'!Print_Titles</vt:lpstr>
    </vt:vector>
  </TitlesOfParts>
  <Manager>micheal.hicks@nist.gov</Manager>
  <Company>NIST Office of Weights and Measures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PT Plan Template</dc:title>
  <dc:subject>proficiency testing</dc:subject>
  <dc:creator>g.harris@nist.gov;micheal.hicks@nist.gov;elizabeth.koncki@nist.gov;isabel.chavez.baucom@nist.gov</dc:creator>
  <cp:keywords>proficiency testing, PTs, PT planning, OWM PT program</cp:keywords>
  <dc:description>File originally created by Tim Osmer, OWM in 2018.</dc:description>
  <cp:lastModifiedBy>Hicks, Micheal M. Mr. (Fed)</cp:lastModifiedBy>
  <cp:revision/>
  <cp:lastPrinted>2025-09-10T19:44:07Z</cp:lastPrinted>
  <dcterms:created xsi:type="dcterms:W3CDTF">2017-12-28T15:51:23Z</dcterms:created>
  <dcterms:modified xsi:type="dcterms:W3CDTF">2026-07-08T18:34:04Z</dcterms:modified>
  <cp:category>proficiency testing</cp:category>
  <cp:contentStatus>Template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0x01010051169A3B451A6547A13B41C1BB0B6C9E</vt:lpwstr>
  </property>
  <property fmtid="{D5CDD505-2E9C-101B-9397-08002B2CF9AE}" pid="3" name="MediaServiceImageTags">
    <vt:lpwstr/>
  </property>
</Properties>
</file>