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wsdols\Desktop\CONTAM Demos\"/>
    </mc:Choice>
  </mc:AlternateContent>
  <xr:revisionPtr revIDLastSave="0" documentId="13_ncr:1_{78A919E6-5131-4260-B962-AFCBE92282AE}" xr6:coauthVersionLast="45" xr6:coauthVersionMax="45" xr10:uidLastSave="{00000000-0000-0000-0000-000000000000}"/>
  <bookViews>
    <workbookView xWindow="-120" yWindow="-120" windowWidth="29040" windowHeight="16440" activeTab="6" xr2:uid="{00000000-000D-0000-FFFF-FFFF00000000}"/>
  </bookViews>
  <sheets>
    <sheet name="Dimensions" sheetId="1" r:id="rId1"/>
    <sheet name="Windows" sheetId="4" r:id="rId2"/>
    <sheet name="Leakage" sheetId="2" r:id="rId3"/>
    <sheet name="PRJ-zones" sheetId="3" r:id="rId4"/>
    <sheet name="PRJ-AFEs" sheetId="5" r:id="rId5"/>
    <sheet name="PRJ-paths" sheetId="6" r:id="rId6"/>
    <sheet name="PressTest_4Pa" sheetId="7" r:id="rId7"/>
    <sheet name="PressTest_4Pa_bad" sheetId="10" r:id="rId8"/>
    <sheet name="PressTest_50Pa" sheetId="9" r:id="rId9"/>
    <sheet name="Conversions" sheetId="8" r:id="rId10"/>
  </sheets>
  <definedNames>
    <definedName name="Ar" localSheetId="6">PressTest_4Pa!$H$12</definedName>
    <definedName name="Ar" localSheetId="7">PressTest_4Pa_bad!$H$12</definedName>
    <definedName name="Ar" localSheetId="8">PressTest_50Pa!$H$12</definedName>
    <definedName name="Cd_r" localSheetId="7">PressTest_4Pa_bad!$H$9</definedName>
    <definedName name="Cd_r" localSheetId="8">PressTest_50Pa!$H$9</definedName>
    <definedName name="Cd_r">PressTest_4Pa!$H$9</definedName>
    <definedName name="dPr" localSheetId="6">PressTest_4Pa!$H$7</definedName>
    <definedName name="dPr" localSheetId="7">PressTest_4Pa_bad!$H$7</definedName>
    <definedName name="dPr" localSheetId="8">PressTest_50Pa!$H$7</definedName>
    <definedName name="HlevTable">'PRJ-zones'!$Y$5:$Z$7</definedName>
    <definedName name="m_per_ft">Leakage!#REF!</definedName>
    <definedName name="m2_per_ft2">Leakage!#REF!</definedName>
    <definedName name="n" localSheetId="6">PressTest_4Pa!$H$8</definedName>
    <definedName name="n" localSheetId="7">PressTest_4Pa_bad!$H$8</definedName>
    <definedName name="n" localSheetId="8">PressTest_50Pa!$H$8</definedName>
    <definedName name="Qr" localSheetId="6">PressTest_4Pa!$H$5</definedName>
    <definedName name="Qr" localSheetId="7">PressTest_4Pa_bad!$H$5</definedName>
    <definedName name="Qr" localSheetId="8">PressTest_50Pa!$H$5</definedName>
    <definedName name="rho" localSheetId="6">PressTest_4Pa!$H$11</definedName>
    <definedName name="rho" localSheetId="7">PressTest_4Pa_bad!$H$11</definedName>
    <definedName name="rho" localSheetId="8">PressTest_50Pa!$H$11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0" l="1"/>
  <c r="H14" i="10"/>
  <c r="H11" i="10"/>
  <c r="H7" i="10"/>
  <c r="I6" i="10"/>
  <c r="I5" i="10"/>
  <c r="I4" i="10"/>
  <c r="H4" i="10"/>
  <c r="H5" i="10" s="1"/>
  <c r="H12" i="10" l="1"/>
  <c r="H13" i="10" s="1"/>
  <c r="H10" i="10"/>
  <c r="H6" i="10"/>
  <c r="H17" i="10" l="1"/>
  <c r="H18" i="10" s="1"/>
  <c r="J13" i="10"/>
  <c r="H14" i="9"/>
  <c r="H11" i="9"/>
  <c r="H12" i="9" s="1"/>
  <c r="H7" i="9"/>
  <c r="I6" i="9"/>
  <c r="I5" i="9"/>
  <c r="I4" i="9"/>
  <c r="H4" i="9"/>
  <c r="H5" i="9" s="1"/>
  <c r="H6" i="9" s="1"/>
  <c r="AL5" i="6"/>
  <c r="AL3" i="6"/>
  <c r="AI4" i="6"/>
  <c r="AI5" i="6"/>
  <c r="Q14" i="2"/>
  <c r="Q13" i="2"/>
  <c r="Q19" i="2"/>
  <c r="Q18" i="2"/>
  <c r="E4" i="2"/>
  <c r="E3" i="2"/>
  <c r="E2" i="2"/>
  <c r="H14" i="7"/>
  <c r="I32" i="8"/>
  <c r="C32" i="8"/>
  <c r="J31" i="8"/>
  <c r="E31" i="8"/>
  <c r="D31" i="8"/>
  <c r="C31" i="8"/>
  <c r="J27" i="8"/>
  <c r="I27" i="8"/>
  <c r="E26" i="8"/>
  <c r="C26" i="8"/>
  <c r="M25" i="8"/>
  <c r="E25" i="8"/>
  <c r="E32" i="8" s="1"/>
  <c r="D25" i="8"/>
  <c r="H25" i="8" s="1"/>
  <c r="M24" i="8"/>
  <c r="L25" i="8" s="1"/>
  <c r="C17" i="8"/>
  <c r="E16" i="8"/>
  <c r="C16" i="8"/>
  <c r="K15" i="8"/>
  <c r="G15" i="8"/>
  <c r="E19" i="8" s="1"/>
  <c r="F15" i="8"/>
  <c r="F19" i="8" s="1"/>
  <c r="E15" i="8"/>
  <c r="D17" i="8" s="1"/>
  <c r="K14" i="8"/>
  <c r="L4" i="8"/>
  <c r="K4" i="8" s="1"/>
  <c r="L3" i="8"/>
  <c r="H10" i="9" l="1"/>
  <c r="H13" i="9"/>
  <c r="AI3" i="6"/>
  <c r="J15" i="8"/>
  <c r="I30" i="8"/>
  <c r="G25" i="8"/>
  <c r="H31" i="8"/>
  <c r="C30" i="8"/>
  <c r="H26" i="8"/>
  <c r="H32" i="8"/>
  <c r="H27" i="8"/>
  <c r="J30" i="8"/>
  <c r="F17" i="8"/>
  <c r="G17" i="8"/>
  <c r="H15" i="8"/>
  <c r="C18" i="8"/>
  <c r="D18" i="8"/>
  <c r="F16" i="8"/>
  <c r="I26" i="8"/>
  <c r="D30" i="8"/>
  <c r="G16" i="8"/>
  <c r="C19" i="8"/>
  <c r="J26" i="8"/>
  <c r="E30" i="8"/>
  <c r="E18" i="8"/>
  <c r="G18" i="8"/>
  <c r="D19" i="8"/>
  <c r="F25" i="8"/>
  <c r="C27" i="8"/>
  <c r="D32" i="8"/>
  <c r="D27" i="8"/>
  <c r="G32" i="8" l="1"/>
  <c r="C29" i="8"/>
  <c r="G30" i="8"/>
  <c r="G31" i="8"/>
  <c r="G26" i="8"/>
  <c r="G28" i="8"/>
  <c r="J29" i="8"/>
  <c r="I29" i="8"/>
  <c r="E29" i="8"/>
  <c r="D29" i="8"/>
  <c r="G27" i="8"/>
  <c r="H16" i="8"/>
  <c r="G20" i="8"/>
  <c r="H18" i="8"/>
  <c r="E20" i="8"/>
  <c r="D20" i="8"/>
  <c r="H17" i="8"/>
  <c r="C20" i="8"/>
  <c r="H19" i="8"/>
  <c r="H29" i="8"/>
  <c r="F20" i="8"/>
  <c r="F32" i="8"/>
  <c r="F27" i="8"/>
  <c r="J28" i="8"/>
  <c r="F30" i="8"/>
  <c r="I28" i="8"/>
  <c r="D28" i="8"/>
  <c r="E28" i="8"/>
  <c r="F31" i="8"/>
  <c r="C28" i="8"/>
  <c r="F26" i="8"/>
  <c r="F29" i="8"/>
  <c r="H28" i="8"/>
  <c r="AH3" i="6" l="1"/>
  <c r="AG3" i="6"/>
  <c r="AK3" i="6"/>
  <c r="AJ3" i="6"/>
  <c r="AK4" i="6"/>
  <c r="AK6" i="6"/>
  <c r="AJ6" i="6"/>
  <c r="AI6" i="6"/>
  <c r="AH6" i="6"/>
  <c r="AG6" i="6"/>
  <c r="AJ4" i="6"/>
  <c r="AH4" i="6"/>
  <c r="AG4" i="6"/>
  <c r="AK5" i="6"/>
  <c r="AJ5" i="6"/>
  <c r="AK40" i="6"/>
  <c r="AK39" i="6"/>
  <c r="AK38" i="6"/>
  <c r="AK37" i="6"/>
  <c r="AK36" i="6"/>
  <c r="AK35" i="6"/>
  <c r="AK34" i="6"/>
  <c r="AK33" i="6"/>
  <c r="AK32" i="6"/>
  <c r="AK31" i="6"/>
  <c r="AK30" i="6"/>
  <c r="AK29" i="6"/>
  <c r="AK28" i="6"/>
  <c r="AK27" i="6"/>
  <c r="AK26" i="6"/>
  <c r="AK25" i="6"/>
  <c r="AK24" i="6"/>
  <c r="AK23" i="6"/>
  <c r="AK22" i="6"/>
  <c r="AK21" i="6"/>
  <c r="AK20" i="6"/>
  <c r="AK19" i="6"/>
  <c r="AK18" i="6"/>
  <c r="AK17" i="6"/>
  <c r="AK16" i="6"/>
  <c r="AK15" i="6"/>
  <c r="AK14" i="6"/>
  <c r="AK13" i="6"/>
  <c r="AK12" i="6"/>
  <c r="AK11" i="6"/>
  <c r="AK10" i="6"/>
  <c r="AK9" i="6"/>
  <c r="AK8" i="6"/>
  <c r="AJ40" i="6"/>
  <c r="AJ39" i="6"/>
  <c r="AJ38" i="6"/>
  <c r="AJ37" i="6"/>
  <c r="AJ36" i="6"/>
  <c r="AJ35" i="6"/>
  <c r="AJ34" i="6"/>
  <c r="AJ33" i="6"/>
  <c r="AJ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AJ10" i="6"/>
  <c r="AJ9" i="6"/>
  <c r="AJ8" i="6"/>
  <c r="H4" i="7"/>
  <c r="H5" i="7" s="1"/>
  <c r="H6" i="7" s="1"/>
  <c r="H11" i="7"/>
  <c r="H7" i="7"/>
  <c r="I6" i="7"/>
  <c r="I5" i="7"/>
  <c r="I4" i="7"/>
  <c r="H12" i="7" l="1"/>
  <c r="H13" i="7" s="1"/>
  <c r="H10" i="7"/>
  <c r="V11" i="3" l="1"/>
  <c r="AB11" i="3" s="1"/>
  <c r="V10" i="3"/>
  <c r="AB10" i="3" s="1"/>
  <c r="V9" i="3"/>
  <c r="V8" i="3"/>
  <c r="V7" i="3"/>
  <c r="AB7" i="3" s="1"/>
  <c r="V6" i="3"/>
  <c r="AB6" i="3" s="1"/>
  <c r="V5" i="3"/>
  <c r="AB5" i="3" s="1"/>
  <c r="W11" i="3"/>
  <c r="W10" i="3"/>
  <c r="W9" i="3"/>
  <c r="W8" i="3"/>
  <c r="W7" i="3"/>
  <c r="W6" i="3"/>
  <c r="W5" i="3"/>
  <c r="B15" i="1"/>
  <c r="B14" i="1"/>
  <c r="B13" i="1"/>
  <c r="AI40" i="6"/>
  <c r="AI39" i="6"/>
  <c r="AI38" i="6"/>
  <c r="AI37" i="6"/>
  <c r="AI36" i="6"/>
  <c r="AI35" i="6"/>
  <c r="AI34" i="6"/>
  <c r="AI33" i="6"/>
  <c r="AI32" i="6"/>
  <c r="AI31" i="6"/>
  <c r="AI30" i="6"/>
  <c r="AI29" i="6"/>
  <c r="AI28" i="6"/>
  <c r="AI27" i="6"/>
  <c r="AI26" i="6"/>
  <c r="AI25" i="6"/>
  <c r="AI24" i="6"/>
  <c r="AI23" i="6"/>
  <c r="AI22" i="6"/>
  <c r="AI21" i="6"/>
  <c r="AI20" i="6"/>
  <c r="AI19" i="6"/>
  <c r="AI18" i="6"/>
  <c r="AI17" i="6"/>
  <c r="AI16" i="6"/>
  <c r="AI15" i="6"/>
  <c r="AI14" i="6"/>
  <c r="AI13" i="6"/>
  <c r="AI12" i="6"/>
  <c r="AI11" i="6"/>
  <c r="AI10" i="6"/>
  <c r="AI9" i="6"/>
  <c r="AI8" i="6"/>
  <c r="AH40" i="6"/>
  <c r="AG40" i="6"/>
  <c r="AH39" i="6"/>
  <c r="AG39" i="6"/>
  <c r="AH38" i="6"/>
  <c r="AG38" i="6"/>
  <c r="AH37" i="6"/>
  <c r="AG37" i="6"/>
  <c r="AH36" i="6"/>
  <c r="AG36" i="6"/>
  <c r="AH35" i="6"/>
  <c r="AG35" i="6"/>
  <c r="AH34" i="6"/>
  <c r="AG34" i="6"/>
  <c r="AH33" i="6"/>
  <c r="AG33" i="6"/>
  <c r="AH32" i="6"/>
  <c r="AG32" i="6"/>
  <c r="AH31" i="6"/>
  <c r="AG31" i="6"/>
  <c r="AH30" i="6"/>
  <c r="AG30" i="6"/>
  <c r="AH29" i="6"/>
  <c r="AG29" i="6"/>
  <c r="AH28" i="6"/>
  <c r="AG28" i="6"/>
  <c r="AH27" i="6"/>
  <c r="AG27" i="6"/>
  <c r="AH26" i="6"/>
  <c r="AG26" i="6"/>
  <c r="AH25" i="6"/>
  <c r="AG25" i="6"/>
  <c r="AH24" i="6"/>
  <c r="AG24" i="6"/>
  <c r="AH23" i="6"/>
  <c r="AG23" i="6"/>
  <c r="AH22" i="6"/>
  <c r="AG22" i="6"/>
  <c r="AH21" i="6"/>
  <c r="AG21" i="6"/>
  <c r="AH20" i="6"/>
  <c r="AG20" i="6"/>
  <c r="AH19" i="6"/>
  <c r="AG19" i="6"/>
  <c r="AH18" i="6"/>
  <c r="AG18" i="6"/>
  <c r="AH17" i="6"/>
  <c r="AG17" i="6"/>
  <c r="AH16" i="6"/>
  <c r="AG16" i="6"/>
  <c r="AH15" i="6"/>
  <c r="AG15" i="6"/>
  <c r="AH14" i="6"/>
  <c r="AG14" i="6"/>
  <c r="AH13" i="6"/>
  <c r="AG13" i="6"/>
  <c r="AH12" i="6"/>
  <c r="AG12" i="6"/>
  <c r="AH11" i="6"/>
  <c r="AG11" i="6"/>
  <c r="AH10" i="6"/>
  <c r="AG10" i="6"/>
  <c r="AH9" i="6"/>
  <c r="AG9" i="6"/>
  <c r="AH8" i="6"/>
  <c r="AH5" i="6" s="1"/>
  <c r="AG8" i="6"/>
  <c r="J6" i="2"/>
  <c r="B12" i="1"/>
  <c r="AC8" i="3" l="1"/>
  <c r="AC9" i="3"/>
  <c r="AB8" i="3"/>
  <c r="AB9" i="3"/>
  <c r="AC7" i="3"/>
  <c r="AC10" i="3"/>
  <c r="AC11" i="3"/>
  <c r="AC5" i="3"/>
  <c r="AC6" i="3"/>
  <c r="AB3" i="3"/>
  <c r="AG5" i="6"/>
  <c r="J7" i="2"/>
  <c r="AC3" i="3" l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I12" i="1" s="1"/>
  <c r="H5" i="1"/>
  <c r="I5" i="1" s="1"/>
  <c r="Q13" i="4" l="1"/>
  <c r="P13" i="4"/>
  <c r="O13" i="4"/>
  <c r="K13" i="4"/>
  <c r="J13" i="4"/>
  <c r="E13" i="4"/>
  <c r="D13" i="4"/>
  <c r="Q12" i="4"/>
  <c r="P12" i="4"/>
  <c r="O12" i="4"/>
  <c r="K12" i="4"/>
  <c r="M12" i="4" s="1"/>
  <c r="J12" i="4"/>
  <c r="E12" i="4"/>
  <c r="D12" i="4"/>
  <c r="Q11" i="4"/>
  <c r="P11" i="4"/>
  <c r="O11" i="4"/>
  <c r="K11" i="4"/>
  <c r="J11" i="4"/>
  <c r="E11" i="4"/>
  <c r="D11" i="4"/>
  <c r="Q9" i="4"/>
  <c r="P9" i="4"/>
  <c r="O9" i="4"/>
  <c r="K9" i="4"/>
  <c r="J9" i="4"/>
  <c r="E9" i="4"/>
  <c r="D9" i="4"/>
  <c r="Q8" i="4"/>
  <c r="P8" i="4"/>
  <c r="O8" i="4"/>
  <c r="K8" i="4"/>
  <c r="J8" i="4"/>
  <c r="E8" i="4"/>
  <c r="D8" i="4"/>
  <c r="Q7" i="4"/>
  <c r="P7" i="4"/>
  <c r="O7" i="4"/>
  <c r="K7" i="4"/>
  <c r="J7" i="4"/>
  <c r="E7" i="4"/>
  <c r="D7" i="4"/>
  <c r="Q10" i="4"/>
  <c r="P10" i="4"/>
  <c r="O10" i="4"/>
  <c r="K10" i="4"/>
  <c r="J10" i="4"/>
  <c r="E10" i="4"/>
  <c r="D10" i="4"/>
  <c r="Q6" i="4"/>
  <c r="P6" i="4"/>
  <c r="O6" i="4"/>
  <c r="K6" i="4"/>
  <c r="J6" i="4"/>
  <c r="E6" i="4"/>
  <c r="D6" i="4"/>
  <c r="O5" i="4"/>
  <c r="O4" i="4"/>
  <c r="Q5" i="4"/>
  <c r="P5" i="4"/>
  <c r="K5" i="4"/>
  <c r="J5" i="4"/>
  <c r="E5" i="4"/>
  <c r="D5" i="4"/>
  <c r="Q4" i="4"/>
  <c r="P4" i="4"/>
  <c r="K4" i="4"/>
  <c r="J4" i="4"/>
  <c r="E4" i="4"/>
  <c r="D4" i="4"/>
  <c r="E14" i="4" l="1"/>
  <c r="M8" i="4"/>
  <c r="K14" i="4"/>
  <c r="M9" i="4"/>
  <c r="M5" i="4"/>
  <c r="M7" i="4"/>
  <c r="M13" i="4"/>
  <c r="M11" i="4"/>
  <c r="M10" i="4"/>
  <c r="M6" i="4"/>
  <c r="M4" i="4"/>
  <c r="M14" i="4" l="1"/>
  <c r="T3" i="4"/>
  <c r="T4" i="4" s="1"/>
  <c r="B30" i="2"/>
  <c r="O15" i="2" l="1"/>
  <c r="B31" i="2" s="1"/>
  <c r="E31" i="2" s="1"/>
  <c r="B23" i="2" l="1"/>
  <c r="E6" i="2" l="1"/>
  <c r="E5" i="2"/>
  <c r="E8" i="2" s="1"/>
  <c r="B24" i="2"/>
  <c r="B18" i="2"/>
  <c r="B20" i="2" s="1"/>
  <c r="E7" i="2" l="1"/>
  <c r="E9" i="2" s="1"/>
  <c r="Q15" i="2"/>
  <c r="B26" i="2"/>
  <c r="B19" i="2"/>
  <c r="B6" i="2"/>
  <c r="I5" i="2" s="1"/>
  <c r="B5" i="2"/>
  <c r="I6" i="2" s="1"/>
  <c r="K5" i="2" l="1"/>
  <c r="L5" i="2" s="1"/>
  <c r="I7" i="2"/>
  <c r="K7" i="2" s="1"/>
  <c r="K6" i="2"/>
  <c r="L6" i="2" s="1"/>
  <c r="B8" i="2"/>
  <c r="H20" i="9" s="1"/>
  <c r="B11" i="2"/>
  <c r="B7" i="2"/>
  <c r="B7" i="1"/>
  <c r="B8" i="1" s="1"/>
  <c r="K8" i="2" l="1"/>
  <c r="J13" i="9" s="1"/>
  <c r="L7" i="2"/>
  <c r="L8" i="2" s="1"/>
  <c r="I8" i="2"/>
  <c r="B9" i="1"/>
  <c r="B32" i="2"/>
  <c r="E32" i="2" s="1"/>
  <c r="B9" i="2"/>
  <c r="B14" i="2"/>
  <c r="B12" i="2"/>
  <c r="H16" i="7" l="1"/>
  <c r="H16" i="9"/>
  <c r="H17" i="7"/>
  <c r="H18" i="7" s="1"/>
  <c r="K9" i="2"/>
  <c r="J13" i="7"/>
  <c r="E34" i="2"/>
  <c r="E35" i="2" s="1"/>
  <c r="E36" i="2"/>
  <c r="B36" i="2"/>
  <c r="B34" i="2"/>
  <c r="B35" i="2" s="1"/>
  <c r="K18" i="9" l="1"/>
  <c r="L18" i="9" s="1"/>
  <c r="H17" i="9"/>
  <c r="H18" i="9" s="1"/>
  <c r="B3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Dols, William Stuart (Fed)</author>
  </authors>
  <commentList>
    <comment ref="A10" authorId="0" shapeId="0" xr:uid="{A60FB196-0C56-48E2-A843-DB71838EF038}">
      <text>
        <r>
          <rPr>
            <sz val="9"/>
            <color indexed="81"/>
            <rFont val="Tahoma"/>
            <family val="2"/>
          </rPr>
          <t xml:space="preserve">Normalized Leakage.
See LBNL Residential Leakage Database
https://resdb.lbl.gov/
</t>
        </r>
      </text>
    </comment>
    <comment ref="O18" authorId="0" shapeId="0" xr:uid="{FF3A86BF-CE70-4987-8BA7-ACE99EE20CBD}">
      <text>
        <r>
          <rPr>
            <sz val="9"/>
            <color indexed="81"/>
            <rFont val="Tahoma"/>
            <charset val="1"/>
          </rPr>
          <t>NFVA per ft of soffit vent [in2/ft]</t>
        </r>
      </text>
    </comment>
    <comment ref="O19" authorId="0" shapeId="0" xr:uid="{929C1081-EF05-4FEA-82BC-DDE9F6E21F3B}">
      <text>
        <r>
          <rPr>
            <sz val="9"/>
            <color indexed="81"/>
            <rFont val="Tahoma"/>
            <charset val="1"/>
          </rPr>
          <t>NFVA per ft of ridge vent [in2/ft]</t>
        </r>
      </text>
    </comment>
    <comment ref="A22" authorId="0" shapeId="0" xr:uid="{C5DCF1B5-0C40-4EBB-873B-9E9CE6D7F30D}">
      <text>
        <r>
          <rPr>
            <sz val="9"/>
            <color indexed="81"/>
            <rFont val="Tahoma"/>
            <family val="2"/>
          </rPr>
          <t>1/150 is some sort of rule of thumb - OLD?
Just use 1/100 to be easier.</t>
        </r>
      </text>
    </comment>
    <comment ref="A29" authorId="0" shapeId="0" xr:uid="{07E05153-73F4-47C5-8884-9CD25E907AA7}">
      <text>
        <r>
          <rPr>
            <sz val="9"/>
            <color indexed="81"/>
            <rFont val="Tahoma"/>
            <family val="2"/>
          </rPr>
          <t>1/300 total.
Aeave = 2 x Aridge</t>
        </r>
      </text>
    </comment>
    <comment ref="B33" authorId="0" shapeId="0" xr:uid="{45806C33-C1B5-4222-8A3F-345B119091E7}">
      <text>
        <r>
          <rPr>
            <sz val="9"/>
            <color indexed="81"/>
            <rFont val="Tahoma"/>
            <family val="2"/>
          </rPr>
          <t>Soffit vent area should be greater than Ridge vent area to promote pressurized attics relative to living area, e.g., 60/40.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" authorId="0" shapeId="0" xr:uid="{BA2EE29E-220E-43D9-8F18-DC6B6788866A}">
      <text>
        <r>
          <rPr>
            <sz val="9"/>
            <color indexed="81"/>
            <rFont val="Tahoma"/>
            <family val="2"/>
          </rPr>
          <t>Paste 4 Pa blower door test results from .VAL file here.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" authorId="0" shapeId="0" xr:uid="{5741C2ED-0820-4E0F-A07E-8B80BA03FA7E}">
      <text>
        <r>
          <rPr>
            <sz val="9"/>
            <color indexed="81"/>
            <rFont val="Tahoma"/>
            <family val="2"/>
          </rPr>
          <t>Paste 4 Pa blower door test results from .VAL file here.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" authorId="0" shapeId="0" xr:uid="{6E8FA846-5CA9-4A22-B5A7-1E8324896BD7}">
      <text>
        <r>
          <rPr>
            <sz val="9"/>
            <color indexed="81"/>
            <rFont val="Tahoma"/>
            <family val="2"/>
          </rPr>
          <t>Paste 50 Pa blower door test results from .VAL file here.</t>
        </r>
      </text>
    </comment>
  </commentList>
</comments>
</file>

<file path=xl/sharedStrings.xml><?xml version="1.0" encoding="utf-8"?>
<sst xmlns="http://schemas.openxmlformats.org/spreadsheetml/2006/main" count="522" uniqueCount="277">
  <si>
    <t>Dimensions</t>
  </si>
  <si>
    <t>L</t>
  </si>
  <si>
    <t>m</t>
  </si>
  <si>
    <t>W</t>
  </si>
  <si>
    <t>Hcrawl</t>
  </si>
  <si>
    <t>Hfloor</t>
  </si>
  <si>
    <t>Hattic</t>
  </si>
  <si>
    <t>Avent_crawl</t>
  </si>
  <si>
    <t>Av/Afloor</t>
  </si>
  <si>
    <t>Av_total</t>
  </si>
  <si>
    <t>Nvents</t>
  </si>
  <si>
    <t>Avi</t>
  </si>
  <si>
    <t>m2</t>
  </si>
  <si>
    <t>deg</t>
  </si>
  <si>
    <t>Roof (Rise/Run)</t>
  </si>
  <si>
    <t>pitch</t>
  </si>
  <si>
    <t>NL</t>
  </si>
  <si>
    <t>ELA4</t>
  </si>
  <si>
    <t>H</t>
  </si>
  <si>
    <t>Afloor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</si>
  <si>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</si>
  <si>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RHO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</si>
  <si>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</si>
  <si>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Q50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</si>
  <si>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</si>
  <si>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Awalls</t>
  </si>
  <si>
    <t>Asurf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</si>
  <si>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</si>
  <si>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Asurf/V</t>
  </si>
  <si>
    <r>
      <t>m</t>
    </r>
    <r>
      <rPr>
        <vertAlign val="superscript"/>
        <sz val="11"/>
        <color theme="1"/>
        <rFont val="Calibri"/>
        <family val="2"/>
        <scheme val="minor"/>
      </rPr>
      <t>-1</t>
    </r>
  </si>
  <si>
    <t>ELA4'</t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</si>
  <si>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scheme val="minor"/>
      </rPr>
      <t>2</t>
    </r>
  </si>
  <si>
    <t>Avent_attic</t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</si>
  <si>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</si>
  <si>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Avent_total</t>
  </si>
  <si>
    <t>Avent_total [ft2] = Aattic [ft2]/300 [ft2]</t>
  </si>
  <si>
    <t>ft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</si>
  <si>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</si>
  <si>
    <r>
      <t>ft</t>
    </r>
    <r>
      <rPr>
        <vertAlign val="superscript"/>
        <sz val="11"/>
        <color theme="1"/>
        <rFont val="Calibri"/>
        <family val="2"/>
        <scheme val="minor"/>
      </rPr>
      <t>3</t>
    </r>
  </si>
  <si>
    <r>
      <t>ft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</si>
  <si>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in</t>
    </r>
    <r>
      <rPr>
        <vertAlign val="superscript"/>
        <sz val="11"/>
        <color theme="1"/>
        <rFont val="Calibri"/>
        <family val="2"/>
        <scheme val="minor"/>
      </rPr>
      <t>2</t>
    </r>
  </si>
  <si>
    <t>f_soffit</t>
  </si>
  <si>
    <t>Aridge</t>
  </si>
  <si>
    <r>
      <t>in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/ft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</si>
  <si>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</si>
  <si>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t>Total Ventilation Area</t>
  </si>
  <si>
    <t>Vrating_s</t>
  </si>
  <si>
    <t>Vrating_r</t>
  </si>
  <si>
    <r>
      <rPr>
        <b/>
        <i/>
        <sz val="11"/>
        <color theme="1"/>
        <rFont val="Calibri"/>
        <family val="2"/>
        <scheme val="minor"/>
      </rPr>
      <t>A Crash Course in Roof Venting</t>
    </r>
    <r>
      <rPr>
        <b/>
        <sz val="11"/>
        <color theme="1"/>
        <rFont val="Calibri"/>
        <family val="2"/>
        <scheme val="minor"/>
      </rPr>
      <t>. Joe Lstibrek.</t>
    </r>
  </si>
  <si>
    <t>Asoffit_total</t>
  </si>
  <si>
    <t>Asoffit_each</t>
  </si>
  <si>
    <t>Level</t>
  </si>
  <si>
    <t>Name</t>
  </si>
  <si>
    <t>Area</t>
  </si>
  <si>
    <t>Volume</t>
  </si>
  <si>
    <t>Crawl</t>
  </si>
  <si>
    <t>crawl</t>
  </si>
  <si>
    <t>first</t>
  </si>
  <si>
    <t>LivingDining</t>
  </si>
  <si>
    <t>Bedroom1</t>
  </si>
  <si>
    <t>Bedroom2</t>
  </si>
  <si>
    <t>Bathroom</t>
  </si>
  <si>
    <t>Kitchen</t>
  </si>
  <si>
    <t>Attic</t>
  </si>
  <si>
    <t>attic</t>
  </si>
  <si>
    <t>Height</t>
  </si>
  <si>
    <t>Afloor_attic</t>
  </si>
  <si>
    <t>WWRmax</t>
  </si>
  <si>
    <t>AwallTotal</t>
  </si>
  <si>
    <t>Lwall</t>
  </si>
  <si>
    <t>Hwall</t>
  </si>
  <si>
    <t>Awall</t>
  </si>
  <si>
    <t>Lwind</t>
  </si>
  <si>
    <t>Hwind</t>
  </si>
  <si>
    <t>Awind</t>
  </si>
  <si>
    <t>Rww</t>
  </si>
  <si>
    <t>Hwind/Hwall</t>
  </si>
  <si>
    <t>Elevation</t>
  </si>
  <si>
    <r>
      <t>R</t>
    </r>
    <r>
      <rPr>
        <b/>
        <vertAlign val="subscript"/>
        <sz val="11"/>
        <color theme="1"/>
        <rFont val="Calibri"/>
        <family val="2"/>
        <scheme val="minor"/>
      </rPr>
      <t>LW</t>
    </r>
  </si>
  <si>
    <t>Nwind</t>
  </si>
  <si>
    <t>LivDin front</t>
  </si>
  <si>
    <t>LivDin rear</t>
  </si>
  <si>
    <t>Dwind</t>
  </si>
  <si>
    <t>Kit front</t>
  </si>
  <si>
    <t>Kit side</t>
  </si>
  <si>
    <t>Bed1 front</t>
  </si>
  <si>
    <t>Bed1 side</t>
  </si>
  <si>
    <t>Bed2 side</t>
  </si>
  <si>
    <t>Bed2 rear</t>
  </si>
  <si>
    <t>Bath side</t>
  </si>
  <si>
    <t>Bath rear</t>
  </si>
  <si>
    <t>Window-3-slide</t>
  </si>
  <si>
    <t>Window-4</t>
  </si>
  <si>
    <t>Window-1</t>
  </si>
  <si>
    <t>Window-2</t>
  </si>
  <si>
    <t>ZONES</t>
  </si>
  <si>
    <t>cond?</t>
  </si>
  <si>
    <t>Y</t>
  </si>
  <si>
    <t>no</t>
  </si>
  <si>
    <t>yes</t>
  </si>
  <si>
    <t>[m3]</t>
  </si>
  <si>
    <t>[m2]</t>
  </si>
  <si>
    <t>[m]</t>
  </si>
  <si>
    <t>Total Envelope Leakage Area</t>
  </si>
  <si>
    <t>Ceiling-to-Attic</t>
  </si>
  <si>
    <t>Floor-to-Crawl</t>
  </si>
  <si>
    <t>Wall-to-Ambt</t>
  </si>
  <si>
    <t>A'</t>
  </si>
  <si>
    <t>AleakTotal</t>
  </si>
  <si>
    <t>From demo1d.prj</t>
  </si>
  <si>
    <t>6 ! flow elements:</t>
  </si>
  <si>
    <t>1 23 plr_orfc AtticVent</t>
  </si>
  <si>
    <t>Attic vent 1 cm2. Use multiplier for total area</t>
  </si>
  <si>
    <t>2 23 plr_orfc CrawlVent</t>
  </si>
  <si>
    <t>Crawl space vent = 1/100 of floor area</t>
  </si>
  <si>
    <t>3 23 plr_leak3 FloorAttic</t>
  </si>
  <si>
    <t>Attic floor leakage</t>
  </si>
  <si>
    <t>4 23 plr_leak3 FloorExt</t>
  </si>
  <si>
    <t>Exterior floor leakage</t>
  </si>
  <si>
    <t>5 23 plr_leak3 WallExt</t>
  </si>
  <si>
    <t>Exterior wall leakage</t>
  </si>
  <si>
    <t>6 23 plr_leak3 WallInt</t>
  </si>
  <si>
    <t>Interior wall leakage</t>
  </si>
  <si>
    <t>!</t>
  </si>
  <si>
    <t>flow</t>
  </si>
  <si>
    <t>plr_leak3</t>
  </si>
  <si>
    <t>FloorAttic</t>
  </si>
  <si>
    <t>FloorExt</t>
  </si>
  <si>
    <t>WallExt</t>
  </si>
  <si>
    <t>Airflow Elements</t>
  </si>
  <si>
    <t>#</t>
  </si>
  <si>
    <t>icn</t>
  </si>
  <si>
    <t>type</t>
  </si>
  <si>
    <t>name</t>
  </si>
  <si>
    <t>lam</t>
  </si>
  <si>
    <t>turb</t>
  </si>
  <si>
    <t>exp</t>
  </si>
  <si>
    <t>coef</t>
  </si>
  <si>
    <t>pres</t>
  </si>
  <si>
    <t>area1</t>
  </si>
  <si>
    <t>area2</t>
  </si>
  <si>
    <t>area3</t>
  </si>
  <si>
    <t>uA1</t>
  </si>
  <si>
    <t>uA2</t>
  </si>
  <si>
    <t>uA3</t>
  </si>
  <si>
    <t>udP</t>
  </si>
  <si>
    <t>2.70812e-08 8.48529e-05 0.5 0.0001 0.0112838 0.6 30 2 2</t>
  </si>
  <si>
    <t>2.70811e-05 0.00848528 0.5 0.01 0.112838 0.6 30 0 0</t>
  </si>
  <si>
    <t>4.1612e-08 0.00034461 0.65 1 4 0 0 0.0003 2 2 2 0</t>
  </si>
  <si>
    <t>7.7348e-07 0.0034461 0.65 1 4 0 0 0.003 2 2 2 0</t>
  </si>
  <si>
    <t>zones:</t>
  </si>
  <si>
    <t>Z#</t>
  </si>
  <si>
    <t>f</t>
  </si>
  <si>
    <t>s#</t>
  </si>
  <si>
    <t>c#</t>
  </si>
  <si>
    <t>k#</t>
  </si>
  <si>
    <t>l#</t>
  </si>
  <si>
    <t>relHt</t>
  </si>
  <si>
    <t>Vol</t>
  </si>
  <si>
    <t>T0</t>
  </si>
  <si>
    <t>P0</t>
  </si>
  <si>
    <t>clr</t>
  </si>
  <si>
    <t>u[4]</t>
  </si>
  <si>
    <t>axs</t>
  </si>
  <si>
    <t>cdvf</t>
  </si>
  <si>
    <t>&lt;cdvf</t>
  </si>
  <si>
    <t>name&gt;</t>
  </si>
  <si>
    <t>cfd</t>
  </si>
  <si>
    <t>&lt;cfd</t>
  </si>
  <si>
    <t>CrawlSpace</t>
  </si>
  <si>
    <t>CdfName</t>
  </si>
  <si>
    <t>CfdName</t>
  </si>
  <si>
    <t>1Ddata</t>
  </si>
  <si>
    <t>m3</t>
  </si>
  <si>
    <t>ft2</t>
  </si>
  <si>
    <t>Hlev</t>
  </si>
  <si>
    <t>Hlev [m]</t>
  </si>
  <si>
    <t>Lev</t>
  </si>
  <si>
    <t>paths:</t>
  </si>
  <si>
    <t>P#</t>
  </si>
  <si>
    <t>n#</t>
  </si>
  <si>
    <t>m#</t>
  </si>
  <si>
    <t>e#</t>
  </si>
  <si>
    <t>f#</t>
  </si>
  <si>
    <t>w#</t>
  </si>
  <si>
    <t>a#</t>
  </si>
  <si>
    <t>X</t>
  </si>
  <si>
    <t>mult</t>
  </si>
  <si>
    <t>wPset</t>
  </si>
  <si>
    <t>wPmod</t>
  </si>
  <si>
    <t>wazm</t>
  </si>
  <si>
    <t>Fahs</t>
  </si>
  <si>
    <t>Xmax</t>
  </si>
  <si>
    <t>Xmin</t>
  </si>
  <si>
    <t>dir</t>
  </si>
  <si>
    <t>data[4]&gt;</t>
  </si>
  <si>
    <t>Asurf_total</t>
  </si>
  <si>
    <t>Vcond</t>
  </si>
  <si>
    <t>Awall_ext</t>
  </si>
  <si>
    <t>Asurf_ext</t>
  </si>
  <si>
    <t>Pressurization:</t>
  </si>
  <si>
    <t>Reference/Test Data</t>
  </si>
  <si>
    <t>Pa</t>
  </si>
  <si>
    <t>Qr</t>
  </si>
  <si>
    <t>in.H2O</t>
  </si>
  <si>
    <t>Mass flow rate:</t>
  </si>
  <si>
    <t>dPr</t>
  </si>
  <si>
    <t>kg/s</t>
  </si>
  <si>
    <t>n</t>
  </si>
  <si>
    <t>kg/h</t>
  </si>
  <si>
    <t>Cd</t>
  </si>
  <si>
    <t>scfm</t>
  </si>
  <si>
    <t>Cr</t>
  </si>
  <si>
    <t>Volume flow rate:</t>
  </si>
  <si>
    <t>density</t>
  </si>
  <si>
    <t>kg/m3</t>
  </si>
  <si>
    <t>L/s</t>
  </si>
  <si>
    <t>m^3/h</t>
  </si>
  <si>
    <t>cm2</t>
  </si>
  <si>
    <t>cfm</t>
  </si>
  <si>
    <t>Ambient conditions:</t>
  </si>
  <si>
    <t>Pressure</t>
  </si>
  <si>
    <t>cm2/m2</t>
  </si>
  <si>
    <t>Temperature</t>
  </si>
  <si>
    <t>C</t>
  </si>
  <si>
    <t>F</t>
  </si>
  <si>
    <t>Air Density</t>
  </si>
  <si>
    <t>kg/m^3</t>
  </si>
  <si>
    <t>lb/ft^3</t>
  </si>
  <si>
    <t>Volumes:</t>
  </si>
  <si>
    <t>Conditioned zones</t>
  </si>
  <si>
    <t>m^3</t>
  </si>
  <si>
    <t>cuft</t>
  </si>
  <si>
    <t>Ducts &amp; AHS (conditioned)</t>
  </si>
  <si>
    <t>Unconditioned zones</t>
  </si>
  <si>
    <t>Building Pressurization Test for demo1d-presstest4pa.prj</t>
  </si>
  <si>
    <t>Before opening vents in crawlspace and attic</t>
  </si>
  <si>
    <r>
      <t>cm</t>
    </r>
    <r>
      <rPr>
        <b/>
        <vertAlign val="superscript"/>
        <sz val="11"/>
        <color rgb="FFFF0000"/>
        <rFont val="Calibri"/>
        <family val="2"/>
        <scheme val="minor"/>
      </rPr>
      <t>2</t>
    </r>
    <r>
      <rPr>
        <b/>
        <sz val="11"/>
        <color rgb="FFFF0000"/>
        <rFont val="Calibri"/>
        <family val="2"/>
        <scheme val="minor"/>
      </rPr>
      <t>/m</t>
    </r>
    <r>
      <rPr>
        <b/>
        <vertAlign val="superscript"/>
        <sz val="11"/>
        <color rgb="FFFF0000"/>
        <rFont val="Calibri"/>
        <family val="2"/>
        <scheme val="minor"/>
      </rPr>
      <t>2</t>
    </r>
  </si>
  <si>
    <t>Value used in CONTAM model.</t>
  </si>
  <si>
    <t>--&gt;</t>
  </si>
  <si>
    <t>plr_orfc</t>
  </si>
  <si>
    <t>AtticVent</t>
  </si>
  <si>
    <t>CrawlVent</t>
  </si>
  <si>
    <t>area</t>
  </si>
  <si>
    <t>dia</t>
  </si>
  <si>
    <t>Re</t>
  </si>
  <si>
    <t>uA</t>
  </si>
  <si>
    <t>uD</t>
  </si>
  <si>
    <t>Aattic</t>
  </si>
  <si>
    <t>Acrawl</t>
  </si>
  <si>
    <t>Aleak -&gt;</t>
  </si>
  <si>
    <t>Aafe -&gt;</t>
  </si>
  <si>
    <t>Asurf -&gt;</t>
  </si>
  <si>
    <t>Flow Unit Conversions</t>
  </si>
  <si>
    <t>cc/min</t>
  </si>
  <si>
    <r>
      <t>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/hr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</si>
  <si>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/hr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</si>
  <si>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</si>
  <si>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L/min</t>
  </si>
  <si>
    <t>Length</t>
  </si>
  <si>
    <t>cm</t>
  </si>
  <si>
    <t>km</t>
  </si>
  <si>
    <t>in</t>
  </si>
  <si>
    <t>mile</t>
  </si>
  <si>
    <r>
      <t>m</t>
    </r>
    <r>
      <rPr>
        <b/>
        <vertAlign val="superscript"/>
        <sz val="10"/>
        <rFont val="Arial"/>
        <family val="2"/>
      </rPr>
      <t>2</t>
    </r>
  </si>
  <si>
    <r>
      <t>cm</t>
    </r>
    <r>
      <rPr>
        <b/>
        <vertAlign val="superscript"/>
        <sz val="10"/>
        <rFont val="Arial"/>
        <family val="2"/>
      </rPr>
      <t>2</t>
    </r>
  </si>
  <si>
    <r>
      <t>km</t>
    </r>
    <r>
      <rPr>
        <b/>
        <vertAlign val="superscript"/>
        <sz val="10"/>
        <rFont val="Arial"/>
        <family val="2"/>
      </rPr>
      <t>2</t>
    </r>
  </si>
  <si>
    <t>hectare</t>
  </si>
  <si>
    <r>
      <t>ft</t>
    </r>
    <r>
      <rPr>
        <b/>
        <vertAlign val="superscript"/>
        <sz val="10"/>
        <rFont val="Arial"/>
        <family val="2"/>
      </rPr>
      <t>2</t>
    </r>
  </si>
  <si>
    <r>
      <t>in</t>
    </r>
    <r>
      <rPr>
        <b/>
        <vertAlign val="superscript"/>
        <sz val="10"/>
        <rFont val="Arial"/>
        <family val="2"/>
      </rPr>
      <t>2</t>
    </r>
  </si>
  <si>
    <t>acre</t>
  </si>
  <si>
    <r>
      <t>mile</t>
    </r>
    <r>
      <rPr>
        <b/>
        <vertAlign val="superscript"/>
        <sz val="10"/>
        <rFont val="Arial"/>
        <family val="2"/>
      </rPr>
      <t>2</t>
    </r>
  </si>
  <si>
    <t>Building Pressurization Test for demo1d-presstest50pa.prj</t>
  </si>
  <si>
    <r>
      <t>h</t>
    </r>
    <r>
      <rPr>
        <vertAlign val="superscript"/>
        <sz val="10"/>
        <rFont val="Geneva"/>
      </rPr>
      <t>-1</t>
    </r>
  </si>
  <si>
    <t>ACH50</t>
  </si>
  <si>
    <t>Building Dimensions</t>
  </si>
  <si>
    <t>Building Pressurization Test for demo1d-presstest4paBAD.prj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</si>
</sst>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_(* #,##0.0000_);_(* \(#,##0.0000\);_(* &quot;-&quot;??_);_(@_)"/>
    <numFmt numFmtId="167" formatCode="_(* #,##0_);_(* \(#,##0\);_(* &quot;-&quot;??_);_(@_)"/>
    <numFmt numFmtId="168" formatCode="#\ ???/???"/>
    <numFmt numFmtId="169" formatCode="0.000E+00"/>
    <numFmt numFmtId="170" formatCode="0.0%"/>
    <numFmt numFmtId="171" formatCode="0.0000\ E+00"/>
    <numFmt numFmtId="172" formatCode="0.0000E+00"/>
    <numFmt numFmtId="173" formatCode="0.000"/>
    <numFmt numFmtId="174" formatCode="0.000\ E+00"/>
    <numFmt numFmtId="175" formatCode="_(* #,##0.00000_);_(* \(#,##0.00000\);_(* &quot;-&quot;??_);_(@_)"/>
    <numFmt numFmtId="176" formatCode="0.00000"/>
    <numFmt numFmtId="177" formatCode="0.0000"/>
    <numFmt numFmtId="178" formatCode="0.000%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0"/>
      <name val="Geneva"/>
      <family val="2"/>
    </font>
    <font>
      <sz val="10"/>
      <name val="Geneva"/>
      <family val="2"/>
    </font>
    <font>
      <b/>
      <sz val="10"/>
      <name val="Geneva"/>
    </font>
    <font>
      <sz val="10"/>
      <name val="Geneva"/>
    </font>
    <font>
      <b/>
      <sz val="11"/>
      <color rgb="FFFF0000"/>
      <name val="Calibri"/>
      <family val="2"/>
      <scheme val="minor"/>
    </font>
    <font>
      <b/>
      <vertAlign val="superscript"/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b/>
      <sz val="11"/>
      <color rgb="FF9C57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theme="8"/>
      <name val="Calibri"/>
      <family val="2"/>
      <scheme val="minor"/>
    </font>
    <font>
      <vertAlign val="superscript"/>
      <sz val="10"/>
      <name val="Geneva"/>
    </font>
    <font>
      <b/>
      <sz val="11"/>
      <color rgb="FF9900FF"/>
      <name val="Calibri"/>
      <family val="2"/>
      <scheme val="minor"/>
    </font>
    <font>
      <sz val="11"/>
      <color rgb="FF9900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CCCCFF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3" fillId="2" borderId="1" applyNumberFormat="0" applyAlignment="0" applyProtection="0"/>
    <xf numFmtId="9" fontId="1" fillId="0" borderId="0" applyFon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" fillId="6" borderId="0" applyNumberFormat="0" applyBorder="0" applyAlignment="0" applyProtection="0"/>
    <xf numFmtId="0" fontId="14" fillId="9" borderId="1" applyNumberFormat="0" applyAlignment="0" applyProtection="0"/>
    <xf numFmtId="0" fontId="8" fillId="0" borderId="0" applyNumberFormat="0" applyFill="0" applyBorder="0" applyAlignment="0" applyProtection="0"/>
    <xf numFmtId="0" fontId="1" fillId="10" borderId="10" applyNumberFormat="0" applyFont="0" applyAlignment="0" applyProtection="0"/>
    <xf numFmtId="0" fontId="1" fillId="7" borderId="0" applyNumberFormat="0" applyBorder="0" applyAlignment="0" applyProtection="0"/>
  </cellStyleXfs>
  <cellXfs count="143">
    <xf numFmtId="0" fontId="0" fillId="0" borderId="0" xfId="0"/>
    <xf numFmtId="43" fontId="0" fillId="0" borderId="0" xfId="1" applyFont="1"/>
    <xf numFmtId="0" fontId="0" fillId="0" borderId="0" xfId="0" applyAlignment="1">
      <alignment horizontal="righ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6" fontId="0" fillId="0" borderId="0" xfId="1" applyNumberFormat="1" applyFont="1"/>
    <xf numFmtId="43" fontId="3" fillId="2" borderId="1" xfId="2" applyNumberFormat="1"/>
    <xf numFmtId="164" fontId="3" fillId="2" borderId="1" xfId="2" applyNumberFormat="1"/>
    <xf numFmtId="166" fontId="3" fillId="2" borderId="1" xfId="2" applyNumberFormat="1"/>
    <xf numFmtId="165" fontId="0" fillId="0" borderId="0" xfId="0" applyNumberFormat="1"/>
    <xf numFmtId="0" fontId="0" fillId="0" borderId="0" xfId="0" applyNumberFormat="1"/>
    <xf numFmtId="43" fontId="0" fillId="0" borderId="0" xfId="0" applyNumberFormat="1"/>
    <xf numFmtId="167" fontId="0" fillId="0" borderId="0" xfId="0" applyNumberFormat="1"/>
    <xf numFmtId="167" fontId="0" fillId="0" borderId="0" xfId="1" applyNumberFormat="1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2" borderId="1" xfId="2"/>
    <xf numFmtId="0" fontId="0" fillId="0" borderId="0" xfId="0" applyBorder="1"/>
    <xf numFmtId="0" fontId="3" fillId="2" borderId="2" xfId="2" applyBorder="1"/>
    <xf numFmtId="0" fontId="3" fillId="2" borderId="5" xfId="2" applyBorder="1"/>
    <xf numFmtId="0" fontId="0" fillId="0" borderId="8" xfId="0" applyBorder="1"/>
    <xf numFmtId="0" fontId="2" fillId="0" borderId="0" xfId="0" applyFont="1" applyBorder="1"/>
    <xf numFmtId="0" fontId="0" fillId="0" borderId="9" xfId="0" applyBorder="1"/>
    <xf numFmtId="168" fontId="0" fillId="0" borderId="0" xfId="0" applyNumberFormat="1" applyBorder="1"/>
    <xf numFmtId="0" fontId="3" fillId="2" borderId="1" xfId="2" applyBorder="1"/>
    <xf numFmtId="0" fontId="0" fillId="0" borderId="0" xfId="0" applyBorder="1" applyAlignment="1">
      <alignment horizontal="center"/>
    </xf>
    <xf numFmtId="43" fontId="0" fillId="0" borderId="6" xfId="1" applyFont="1" applyBorder="1"/>
    <xf numFmtId="2" fontId="0" fillId="0" borderId="0" xfId="0" applyNumberFormat="1" applyBorder="1"/>
    <xf numFmtId="165" fontId="8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3" fontId="3" fillId="2" borderId="1" xfId="1" applyFont="1" applyFill="1" applyBorder="1"/>
    <xf numFmtId="1" fontId="3" fillId="2" borderId="1" xfId="2" applyNumberFormat="1" applyAlignment="1">
      <alignment horizontal="center"/>
    </xf>
    <xf numFmtId="1" fontId="0" fillId="0" borderId="0" xfId="0" applyNumberFormat="1" applyAlignment="1">
      <alignment horizontal="center"/>
    </xf>
    <xf numFmtId="43" fontId="10" fillId="3" borderId="0" xfId="4" applyNumberFormat="1"/>
    <xf numFmtId="164" fontId="10" fillId="3" borderId="0" xfId="4" applyNumberFormat="1"/>
    <xf numFmtId="0" fontId="2" fillId="0" borderId="0" xfId="0" applyFont="1" applyAlignment="1">
      <alignment horizontal="center"/>
    </xf>
    <xf numFmtId="11" fontId="0" fillId="0" borderId="0" xfId="0" applyNumberFormat="1"/>
    <xf numFmtId="0" fontId="10" fillId="3" borderId="0" xfId="4"/>
    <xf numFmtId="169" fontId="0" fillId="0" borderId="0" xfId="0" applyNumberFormat="1"/>
    <xf numFmtId="0" fontId="13" fillId="0" borderId="0" xfId="0" applyFont="1" applyAlignment="1">
      <alignment horizontal="center"/>
    </xf>
    <xf numFmtId="1" fontId="0" fillId="0" borderId="0" xfId="1" applyNumberFormat="1" applyFont="1" applyAlignment="1">
      <alignment horizontal="center"/>
    </xf>
    <xf numFmtId="164" fontId="11" fillId="4" borderId="0" xfId="5" applyNumberFormat="1"/>
    <xf numFmtId="165" fontId="2" fillId="0" borderId="0" xfId="1" applyNumberFormat="1" applyFont="1"/>
    <xf numFmtId="9" fontId="13" fillId="0" borderId="0" xfId="3" applyFont="1" applyAlignment="1">
      <alignment horizontal="center"/>
    </xf>
    <xf numFmtId="43" fontId="12" fillId="5" borderId="0" xfId="6" applyNumberFormat="1"/>
    <xf numFmtId="43" fontId="12" fillId="5" borderId="0" xfId="1" applyFont="1" applyFill="1"/>
    <xf numFmtId="43" fontId="11" fillId="4" borderId="0" xfId="1" applyFont="1" applyFill="1"/>
    <xf numFmtId="43" fontId="11" fillId="4" borderId="0" xfId="5" applyNumberFormat="1"/>
    <xf numFmtId="43" fontId="1" fillId="6" borderId="0" xfId="7" applyNumberFormat="1"/>
    <xf numFmtId="43" fontId="10" fillId="3" borderId="0" xfId="1" applyFont="1" applyFill="1"/>
    <xf numFmtId="0" fontId="16" fillId="0" borderId="14" xfId="0" applyFont="1" applyBorder="1" applyAlignment="1">
      <alignment horizontal="right"/>
    </xf>
    <xf numFmtId="167" fontId="0" fillId="0" borderId="0" xfId="1" applyNumberFormat="1" applyFont="1" applyBorder="1"/>
    <xf numFmtId="0" fontId="16" fillId="0" borderId="15" xfId="0" applyFont="1" applyBorder="1"/>
    <xf numFmtId="166" fontId="0" fillId="0" borderId="0" xfId="0" applyNumberFormat="1"/>
    <xf numFmtId="43" fontId="0" fillId="0" borderId="0" xfId="1" applyFont="1" applyBorder="1"/>
    <xf numFmtId="0" fontId="0" fillId="0" borderId="15" xfId="0" applyBorder="1"/>
    <xf numFmtId="166" fontId="3" fillId="2" borderId="1" xfId="1" applyNumberFormat="1" applyFont="1" applyFill="1" applyBorder="1"/>
    <xf numFmtId="0" fontId="0" fillId="0" borderId="14" xfId="0" applyBorder="1"/>
    <xf numFmtId="0" fontId="17" fillId="0" borderId="14" xfId="0" applyFont="1" applyBorder="1" applyAlignment="1">
      <alignment horizontal="right"/>
    </xf>
    <xf numFmtId="0" fontId="0" fillId="0" borderId="16" xfId="0" applyBorder="1" applyAlignment="1">
      <alignment horizontal="right"/>
    </xf>
    <xf numFmtId="43" fontId="1" fillId="0" borderId="17" xfId="1" applyFont="1" applyBorder="1"/>
    <xf numFmtId="0" fontId="18" fillId="0" borderId="18" xfId="0" applyFont="1" applyBorder="1"/>
    <xf numFmtId="0" fontId="18" fillId="0" borderId="0" xfId="0" applyFont="1"/>
    <xf numFmtId="170" fontId="19" fillId="0" borderId="0" xfId="3" applyNumberFormat="1" applyFont="1"/>
    <xf numFmtId="167" fontId="10" fillId="3" borderId="0" xfId="4" applyNumberFormat="1"/>
    <xf numFmtId="164" fontId="1" fillId="6" borderId="0" xfId="7" applyNumberFormat="1"/>
    <xf numFmtId="43" fontId="1" fillId="7" borderId="0" xfId="11" applyNumberFormat="1"/>
    <xf numFmtId="43" fontId="0" fillId="0" borderId="0" xfId="1" applyNumberFormat="1" applyFont="1" applyBorder="1"/>
    <xf numFmtId="10" fontId="0" fillId="0" borderId="0" xfId="3" applyNumberFormat="1" applyFont="1"/>
    <xf numFmtId="165" fontId="19" fillId="0" borderId="0" xfId="1" applyNumberFormat="1" applyFont="1"/>
    <xf numFmtId="0" fontId="19" fillId="0" borderId="0" xfId="0" applyNumberFormat="1" applyFont="1"/>
    <xf numFmtId="0" fontId="19" fillId="0" borderId="0" xfId="0" applyFont="1"/>
    <xf numFmtId="165" fontId="8" fillId="2" borderId="1" xfId="2" applyNumberFormat="1" applyFont="1"/>
    <xf numFmtId="0" fontId="8" fillId="0" borderId="0" xfId="0" quotePrefix="1" applyFont="1"/>
    <xf numFmtId="0" fontId="21" fillId="0" borderId="0" xfId="0" applyFont="1" applyAlignment="1">
      <alignment horizontal="center"/>
    </xf>
    <xf numFmtId="0" fontId="21" fillId="2" borderId="1" xfId="2" applyFont="1" applyAlignment="1">
      <alignment horizontal="center"/>
    </xf>
    <xf numFmtId="0" fontId="21" fillId="0" borderId="0" xfId="0" applyFont="1"/>
    <xf numFmtId="0" fontId="21" fillId="8" borderId="0" xfId="0" applyFont="1" applyFill="1"/>
    <xf numFmtId="0" fontId="22" fillId="0" borderId="0" xfId="0" applyFont="1"/>
    <xf numFmtId="11" fontId="23" fillId="0" borderId="0" xfId="0" applyNumberFormat="1" applyFont="1"/>
    <xf numFmtId="11" fontId="2" fillId="0" borderId="0" xfId="1" applyNumberFormat="1" applyFont="1"/>
    <xf numFmtId="167" fontId="23" fillId="0" borderId="0" xfId="0" applyNumberFormat="1" applyFont="1"/>
    <xf numFmtId="165" fontId="19" fillId="0" borderId="0" xfId="9" applyNumberFormat="1" applyFont="1"/>
    <xf numFmtId="169" fontId="19" fillId="0" borderId="0" xfId="0" applyNumberFormat="1" applyFont="1"/>
    <xf numFmtId="0" fontId="24" fillId="0" borderId="0" xfId="0" applyFont="1" applyAlignment="1">
      <alignment horizontal="left"/>
    </xf>
    <xf numFmtId="0" fontId="0" fillId="0" borderId="19" xfId="0" applyBorder="1"/>
    <xf numFmtId="0" fontId="24" fillId="0" borderId="19" xfId="0" applyFont="1" applyBorder="1" applyAlignment="1">
      <alignment horizontal="center" vertical="center"/>
    </xf>
    <xf numFmtId="0" fontId="24" fillId="0" borderId="19" xfId="0" applyFont="1" applyBorder="1"/>
    <xf numFmtId="171" fontId="0" fillId="0" borderId="19" xfId="0" applyNumberFormat="1" applyBorder="1"/>
    <xf numFmtId="172" fontId="0" fillId="0" borderId="0" xfId="1" applyNumberFormat="1" applyFont="1"/>
    <xf numFmtId="0" fontId="24" fillId="0" borderId="0" xfId="0" applyFont="1"/>
    <xf numFmtId="0" fontId="24" fillId="0" borderId="19" xfId="0" applyFont="1" applyBorder="1" applyAlignment="1">
      <alignment horizontal="center"/>
    </xf>
    <xf numFmtId="173" fontId="0" fillId="0" borderId="19" xfId="0" applyNumberFormat="1" applyBorder="1"/>
    <xf numFmtId="174" fontId="0" fillId="0" borderId="19" xfId="0" applyNumberFormat="1" applyBorder="1"/>
    <xf numFmtId="175" fontId="0" fillId="0" borderId="0" xfId="1" applyNumberFormat="1" applyFont="1"/>
    <xf numFmtId="176" fontId="0" fillId="0" borderId="19" xfId="0" applyNumberFormat="1" applyBorder="1"/>
    <xf numFmtId="1" fontId="0" fillId="0" borderId="19" xfId="0" applyNumberFormat="1" applyBorder="1"/>
    <xf numFmtId="166" fontId="0" fillId="0" borderId="19" xfId="1" applyNumberFormat="1" applyFont="1" applyBorder="1"/>
    <xf numFmtId="177" fontId="0" fillId="0" borderId="19" xfId="0" applyNumberFormat="1" applyBorder="1"/>
    <xf numFmtId="0" fontId="0" fillId="0" borderId="19" xfId="0" applyBorder="1" applyAlignment="1">
      <alignment vertical="center"/>
    </xf>
    <xf numFmtId="0" fontId="24" fillId="0" borderId="19" xfId="0" applyFont="1" applyBorder="1" applyAlignment="1">
      <alignment vertical="center"/>
    </xf>
    <xf numFmtId="0" fontId="26" fillId="0" borderId="19" xfId="0" applyFont="1" applyBorder="1"/>
    <xf numFmtId="167" fontId="26" fillId="0" borderId="19" xfId="1" applyNumberFormat="1" applyFont="1" applyBorder="1"/>
    <xf numFmtId="11" fontId="26" fillId="0" borderId="19" xfId="1" applyNumberFormat="1" applyFont="1" applyBorder="1"/>
    <xf numFmtId="11" fontId="26" fillId="0" borderId="19" xfId="0" applyNumberFormat="1" applyFont="1" applyBorder="1"/>
    <xf numFmtId="165" fontId="26" fillId="0" borderId="19" xfId="0" applyNumberFormat="1" applyFont="1" applyBorder="1"/>
    <xf numFmtId="167" fontId="26" fillId="0" borderId="19" xfId="0" applyNumberFormat="1" applyFont="1" applyBorder="1"/>
    <xf numFmtId="172" fontId="26" fillId="0" borderId="19" xfId="0" applyNumberFormat="1" applyFont="1" applyBorder="1"/>
    <xf numFmtId="169" fontId="26" fillId="0" borderId="19" xfId="0" applyNumberFormat="1" applyFont="1" applyBorder="1"/>
    <xf numFmtId="43" fontId="26" fillId="0" borderId="19" xfId="1" applyFont="1" applyBorder="1"/>
    <xf numFmtId="164" fontId="26" fillId="0" borderId="19" xfId="1" applyNumberFormat="1" applyFont="1" applyBorder="1"/>
    <xf numFmtId="166" fontId="26" fillId="0" borderId="19" xfId="1" applyNumberFormat="1" applyFont="1" applyBorder="1"/>
    <xf numFmtId="166" fontId="26" fillId="0" borderId="19" xfId="0" applyNumberFormat="1" applyFont="1" applyBorder="1"/>
    <xf numFmtId="173" fontId="26" fillId="0" borderId="19" xfId="0" applyNumberFormat="1" applyFont="1" applyBorder="1"/>
    <xf numFmtId="166" fontId="0" fillId="0" borderId="3" xfId="1" applyNumberFormat="1" applyFont="1" applyBorder="1"/>
    <xf numFmtId="11" fontId="27" fillId="5" borderId="0" xfId="1" applyNumberFormat="1" applyFont="1" applyFill="1"/>
    <xf numFmtId="11" fontId="28" fillId="4" borderId="0" xfId="1" applyNumberFormat="1" applyFont="1" applyFill="1"/>
    <xf numFmtId="169" fontId="29" fillId="6" borderId="0" xfId="7" applyNumberFormat="1" applyFont="1"/>
    <xf numFmtId="11" fontId="8" fillId="0" borderId="0" xfId="1" applyNumberFormat="1" applyFont="1" applyFill="1"/>
    <xf numFmtId="43" fontId="21" fillId="0" borderId="0" xfId="9" applyNumberFormat="1" applyFont="1" applyFill="1"/>
    <xf numFmtId="165" fontId="19" fillId="0" borderId="0" xfId="8" applyNumberFormat="1" applyFont="1" applyFill="1" applyBorder="1"/>
    <xf numFmtId="165" fontId="23" fillId="0" borderId="0" xfId="8" applyNumberFormat="1" applyFont="1" applyFill="1" applyBorder="1"/>
    <xf numFmtId="0" fontId="0" fillId="0" borderId="10" xfId="10" applyFont="1" applyFill="1"/>
    <xf numFmtId="0" fontId="18" fillId="0" borderId="0" xfId="0" applyFont="1" applyFill="1" applyBorder="1"/>
    <xf numFmtId="0" fontId="0" fillId="0" borderId="0" xfId="0" applyFont="1" applyAlignment="1">
      <alignment horizontal="right"/>
    </xf>
    <xf numFmtId="178" fontId="21" fillId="0" borderId="0" xfId="3" applyNumberFormat="1" applyFont="1" applyFill="1"/>
    <xf numFmtId="0" fontId="0" fillId="0" borderId="0" xfId="0" applyNumberFormat="1" applyAlignment="1">
      <alignment horizontal="center"/>
    </xf>
    <xf numFmtId="11" fontId="27" fillId="5" borderId="0" xfId="6" applyNumberFormat="1" applyFont="1"/>
    <xf numFmtId="11" fontId="28" fillId="4" borderId="0" xfId="5" applyNumberFormat="1" applyFont="1"/>
    <xf numFmtId="0" fontId="32" fillId="0" borderId="0" xfId="0" applyFont="1" applyFill="1"/>
    <xf numFmtId="11" fontId="0" fillId="0" borderId="0" xfId="0" applyNumberFormat="1" applyFont="1" applyFill="1"/>
    <xf numFmtId="43" fontId="31" fillId="11" borderId="0" xfId="1" applyFont="1" applyFill="1"/>
    <xf numFmtId="167" fontId="0" fillId="0" borderId="0" xfId="1" applyNumberFormat="1" applyFont="1" applyFill="1"/>
    <xf numFmtId="0" fontId="2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</cellXfs>
  <cellStyles count="12">
    <cellStyle name="40% - Accent1" xfId="7" builtinId="31"/>
    <cellStyle name="40% - Accent5" xfId="11" builtinId="47"/>
    <cellStyle name="Bad" xfId="5" builtinId="27"/>
    <cellStyle name="Calculation" xfId="8" builtinId="22"/>
    <cellStyle name="Comma" xfId="1" builtinId="3"/>
    <cellStyle name="Good" xfId="4" builtinId="26"/>
    <cellStyle name="Input" xfId="2" builtinId="20"/>
    <cellStyle name="Neutral" xfId="6" builtinId="28"/>
    <cellStyle name="Normal" xfId="0" builtinId="0"/>
    <cellStyle name="Note" xfId="10" builtinId="10"/>
    <cellStyle name="Percent" xfId="3" builtinId="5"/>
    <cellStyle name="Warning Text" xfId="9" builtinId="11"/>
  </cellStyles>
  <dxfs count="0"/>
  <tableStyles count="0" defaultTableStyle="TableStyleMedium2" defaultPivotStyle="PivotStyleLight16"/>
  <colors>
    <mruColors>
      <color rgb="FF9900FF"/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5</xdr:row>
      <xdr:rowOff>0</xdr:rowOff>
    </xdr:from>
    <xdr:ext cx="2424382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A671614D-E473-4D03-ABF5-0F446798833D}"/>
                </a:ext>
              </a:extLst>
            </xdr:cNvPr>
            <xdr:cNvSpPr txBox="1"/>
          </xdr:nvSpPr>
          <xdr:spPr>
            <a:xfrm>
              <a:off x="7943850" y="790575"/>
              <a:ext cx="2424382" cy="500137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𝐸𝐿𝐴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4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𝑃𝑎</m:t>
                        </m:r>
                      </m:sub>
                    </m:sSub>
                    <m:r>
                      <a:rPr lang="en-US" sz="11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𝜌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d>
                              <m:d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4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𝑃𝑎</m:t>
                                </m:r>
                              </m:e>
                            </m:d>
                          </m:den>
                        </m:f>
                      </m:e>
                    </m:rad>
                    <m:sSup>
                      <m:sSup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𝑄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50 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𝑃𝑎</m:t>
                            </m:r>
                          </m:sub>
                        </m:sSub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4 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𝑃𝑎</m:t>
                                </m:r>
                              </m:num>
                              <m:den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50 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𝑃𝑎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0.65</m:t>
                        </m:r>
                      </m:sup>
                    </m:sSup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A671614D-E473-4D03-ABF5-0F446798833D}"/>
                </a:ext>
              </a:extLst>
            </xdr:cNvPr>
            <xdr:cNvSpPr txBox="1"/>
          </xdr:nvSpPr>
          <xdr:spPr>
            <a:xfrm>
              <a:off x="7943850" y="790575"/>
              <a:ext cx="2424382" cy="500137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〖𝐸𝐿𝐴〗_4𝑃𝑎</a:t>
              </a:r>
              <a:r>
                <a:rPr lang="en-US" sz="1100" i="0">
                  <a:latin typeface="Cambria Math" panose="02040503050406030204" pitchFamily="18" charset="0"/>
                </a:rPr>
                <a:t>=√(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𝜌/</a:t>
              </a:r>
              <a:r>
                <a:rPr lang="en-US" sz="1100" b="0" i="0">
                  <a:latin typeface="Cambria Math" panose="02040503050406030204" pitchFamily="18" charset="0"/>
                </a:rPr>
                <a:t>2(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4𝑃𝑎) ) 〖𝑄_(50 𝑃𝑎) ((4 𝑃𝑎)/(50 𝑃𝑎))〗^0.65  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2</xdr:row>
      <xdr:rowOff>0</xdr:rowOff>
    </xdr:from>
    <xdr:ext cx="2066271" cy="398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7B2A6FEC-958C-4FFF-9C7C-181BFC417A6A}"/>
                </a:ext>
              </a:extLst>
            </xdr:cNvPr>
            <xdr:cNvSpPr txBox="1"/>
          </xdr:nvSpPr>
          <xdr:spPr>
            <a:xfrm>
              <a:off x="7943850" y="190500"/>
              <a:ext cx="2066271" cy="398058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𝑁𝐿</m:t>
                    </m:r>
                    <m:r>
                      <a:rPr lang="en-US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1000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𝐸𝐿𝐴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4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𝑃𝑎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𝐴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𝑓𝑙𝑜𝑜𝑟</m:t>
                                </m:r>
                              </m:sub>
                            </m:sSub>
                          </m:den>
                        </m:f>
                      </m:e>
                    </m:d>
                    <m:sSup>
                      <m:sSup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𝐻</m:t>
                                </m:r>
                              </m:num>
                              <m:den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2.5 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0.3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7B2A6FEC-958C-4FFF-9C7C-181BFC417A6A}"/>
                </a:ext>
              </a:extLst>
            </xdr:cNvPr>
            <xdr:cNvSpPr txBox="1"/>
          </xdr:nvSpPr>
          <xdr:spPr>
            <a:xfrm>
              <a:off x="7943850" y="190500"/>
              <a:ext cx="2066271" cy="398058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𝑁𝐿</a:t>
              </a:r>
              <a:r>
                <a:rPr lang="en-US" sz="1100" i="0">
                  <a:latin typeface="Cambria Math" panose="02040503050406030204" pitchFamily="18" charset="0"/>
                </a:rPr>
                <a:t>=</a:t>
              </a:r>
              <a:r>
                <a:rPr lang="en-US" sz="1100" b="0" i="0">
                  <a:latin typeface="Cambria Math" panose="02040503050406030204" pitchFamily="18" charset="0"/>
                </a:rPr>
                <a:t>1000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(〖𝐸𝐿𝐴〗_4𝑃𝑎/𝐴_𝑓𝑙𝑜𝑜𝑟 ) (𝐻/(2.5 𝑚))^0.3 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B14" sqref="B14"/>
    </sheetView>
  </sheetViews>
  <sheetFormatPr defaultRowHeight="15"/>
  <cols>
    <col min="1" max="1" width="15.140625" bestFit="1" customWidth="1"/>
    <col min="5" max="5" width="11.85546875" bestFit="1" customWidth="1"/>
    <col min="6" max="6" width="5.7109375" bestFit="1" customWidth="1"/>
    <col min="7" max="7" width="6.85546875" bestFit="1" customWidth="1"/>
    <col min="8" max="9" width="8" bestFit="1" customWidth="1"/>
    <col min="10" max="10" width="6.28515625" bestFit="1" customWidth="1"/>
  </cols>
  <sheetData>
    <row r="1" spans="1:10">
      <c r="A1" s="3" t="s">
        <v>0</v>
      </c>
    </row>
    <row r="2" spans="1:10">
      <c r="A2" t="s">
        <v>1</v>
      </c>
      <c r="B2" s="36">
        <v>12</v>
      </c>
      <c r="C2" t="s">
        <v>2</v>
      </c>
      <c r="E2" s="3" t="s">
        <v>95</v>
      </c>
    </row>
    <row r="3" spans="1:10">
      <c r="A3" t="s">
        <v>3</v>
      </c>
      <c r="B3" s="36">
        <v>9</v>
      </c>
      <c r="C3" t="s">
        <v>2</v>
      </c>
      <c r="E3" s="34" t="s">
        <v>52</v>
      </c>
      <c r="F3" s="34" t="s">
        <v>51</v>
      </c>
      <c r="G3" s="34" t="s">
        <v>65</v>
      </c>
      <c r="H3" s="34" t="s">
        <v>53</v>
      </c>
      <c r="I3" s="34" t="s">
        <v>54</v>
      </c>
      <c r="J3" s="34" t="s">
        <v>96</v>
      </c>
    </row>
    <row r="4" spans="1:10">
      <c r="A4" t="s">
        <v>4</v>
      </c>
      <c r="B4" s="36">
        <v>0.6</v>
      </c>
      <c r="C4" t="s">
        <v>2</v>
      </c>
      <c r="G4" s="35" t="s">
        <v>102</v>
      </c>
      <c r="H4" s="35" t="s">
        <v>101</v>
      </c>
      <c r="I4" s="35" t="s">
        <v>100</v>
      </c>
    </row>
    <row r="5" spans="1:10">
      <c r="A5" t="s">
        <v>5</v>
      </c>
      <c r="B5" s="36">
        <v>3</v>
      </c>
      <c r="C5" t="s">
        <v>2</v>
      </c>
      <c r="E5" t="s">
        <v>55</v>
      </c>
      <c r="F5" s="35" t="s">
        <v>56</v>
      </c>
      <c r="G5" s="1">
        <v>0.6</v>
      </c>
      <c r="H5" s="1">
        <f>Leakage!$B$2*Leakage!$B$3</f>
        <v>108</v>
      </c>
      <c r="I5" s="1">
        <f>H5*G5</f>
        <v>64.8</v>
      </c>
      <c r="J5" s="35" t="s">
        <v>98</v>
      </c>
    </row>
    <row r="6" spans="1:10">
      <c r="A6" t="s">
        <v>6</v>
      </c>
      <c r="B6" s="36">
        <v>1.5</v>
      </c>
      <c r="C6" t="s">
        <v>2</v>
      </c>
      <c r="E6" t="s">
        <v>58</v>
      </c>
      <c r="F6" s="35" t="s">
        <v>57</v>
      </c>
      <c r="G6" s="1">
        <v>3</v>
      </c>
      <c r="H6" s="1">
        <f>5*9</f>
        <v>45</v>
      </c>
      <c r="I6" s="1">
        <f t="shared" ref="I6:I10" si="0">H6*G6</f>
        <v>135</v>
      </c>
      <c r="J6" s="35" t="s">
        <v>99</v>
      </c>
    </row>
    <row r="7" spans="1:10">
      <c r="A7" t="s">
        <v>14</v>
      </c>
      <c r="B7">
        <f>B6/(0.5*B3)</f>
        <v>0.33333333333333331</v>
      </c>
      <c r="E7" t="s">
        <v>59</v>
      </c>
      <c r="F7" s="35" t="s">
        <v>57</v>
      </c>
      <c r="G7" s="1">
        <v>3</v>
      </c>
      <c r="H7" s="1">
        <f>4*5</f>
        <v>20</v>
      </c>
      <c r="I7" s="1">
        <f t="shared" si="0"/>
        <v>60</v>
      </c>
      <c r="J7" s="35" t="s">
        <v>99</v>
      </c>
    </row>
    <row r="8" spans="1:10">
      <c r="B8" s="1">
        <f>180*ASIN(B7)/PI()</f>
        <v>19.471220634490692</v>
      </c>
      <c r="C8" t="s">
        <v>13</v>
      </c>
      <c r="E8" t="s">
        <v>60</v>
      </c>
      <c r="F8" s="35" t="s">
        <v>57</v>
      </c>
      <c r="G8" s="1">
        <v>3</v>
      </c>
      <c r="H8" s="1">
        <f>4*4</f>
        <v>16</v>
      </c>
      <c r="I8" s="1">
        <f t="shared" si="0"/>
        <v>48</v>
      </c>
      <c r="J8" s="35" t="s">
        <v>99</v>
      </c>
    </row>
    <row r="9" spans="1:10">
      <c r="B9" s="2" t="str">
        <f>_xlfn.CONCAT(B7*12,"/12")</f>
        <v>4/12</v>
      </c>
      <c r="C9" t="s">
        <v>15</v>
      </c>
      <c r="E9" t="s">
        <v>61</v>
      </c>
      <c r="F9" s="35" t="s">
        <v>57</v>
      </c>
      <c r="G9" s="1">
        <v>3</v>
      </c>
      <c r="H9" s="1">
        <f>3*3</f>
        <v>9</v>
      </c>
      <c r="I9" s="1">
        <f t="shared" si="0"/>
        <v>27</v>
      </c>
      <c r="J9" s="35" t="s">
        <v>99</v>
      </c>
    </row>
    <row r="10" spans="1:10">
      <c r="E10" t="s">
        <v>62</v>
      </c>
      <c r="F10" s="35" t="s">
        <v>57</v>
      </c>
      <c r="G10" s="1">
        <v>3</v>
      </c>
      <c r="H10" s="1">
        <f>3*6</f>
        <v>18</v>
      </c>
      <c r="I10" s="1">
        <f t="shared" si="0"/>
        <v>54</v>
      </c>
      <c r="J10" s="35" t="s">
        <v>99</v>
      </c>
    </row>
    <row r="11" spans="1:10">
      <c r="A11" s="3"/>
      <c r="E11" t="s">
        <v>63</v>
      </c>
      <c r="F11" s="35" t="s">
        <v>64</v>
      </c>
      <c r="G11" s="1">
        <v>1.5</v>
      </c>
      <c r="H11" s="1">
        <f>12*10</f>
        <v>120</v>
      </c>
      <c r="I11" s="1">
        <f>H11*G11*0.5</f>
        <v>90</v>
      </c>
      <c r="J11" s="35" t="s">
        <v>98</v>
      </c>
    </row>
    <row r="12" spans="1:10" ht="17.25">
      <c r="A12" t="s">
        <v>197</v>
      </c>
      <c r="B12" s="39">
        <f>B2*B3*B5</f>
        <v>324</v>
      </c>
      <c r="C12" t="s">
        <v>27</v>
      </c>
      <c r="I12" s="39">
        <f>SUMIF(J5:J11,"yes",I5:I11)</f>
        <v>324</v>
      </c>
    </row>
    <row r="13" spans="1:10" ht="17.25">
      <c r="A13" t="s">
        <v>198</v>
      </c>
      <c r="B13" s="50">
        <f>2*(B2+B3)*B5</f>
        <v>126</v>
      </c>
      <c r="C13" t="s">
        <v>20</v>
      </c>
    </row>
    <row r="14" spans="1:10" ht="17.25">
      <c r="A14" t="s">
        <v>19</v>
      </c>
      <c r="B14" s="53">
        <f>B2*B3</f>
        <v>108</v>
      </c>
      <c r="C14" t="s">
        <v>20</v>
      </c>
    </row>
    <row r="15" spans="1:10" ht="17.25">
      <c r="A15" t="s">
        <v>199</v>
      </c>
      <c r="B15" s="54">
        <f>B13+2*B14</f>
        <v>342</v>
      </c>
      <c r="C15" t="s">
        <v>20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C6A3F-659D-4F85-B3FF-63EF54776233}">
  <dimension ref="B2:M32"/>
  <sheetViews>
    <sheetView workbookViewId="0">
      <selection activeCell="C5" sqref="C5"/>
    </sheetView>
  </sheetViews>
  <sheetFormatPr defaultRowHeight="15"/>
  <cols>
    <col min="2" max="2" width="21.5703125" bestFit="1" customWidth="1"/>
    <col min="3" max="3" width="10.7109375" bestFit="1" customWidth="1"/>
    <col min="4" max="4" width="11" bestFit="1" customWidth="1"/>
    <col min="5" max="6" width="10.7109375" bestFit="1" customWidth="1"/>
    <col min="7" max="7" width="11" bestFit="1" customWidth="1"/>
    <col min="8" max="8" width="10.7109375" bestFit="1" customWidth="1"/>
    <col min="9" max="9" width="11" bestFit="1" customWidth="1"/>
    <col min="10" max="10" width="9.42578125" bestFit="1" customWidth="1"/>
    <col min="11" max="12" width="10.5703125" bestFit="1" customWidth="1"/>
    <col min="13" max="13" width="3.7109375" bestFit="1" customWidth="1"/>
  </cols>
  <sheetData>
    <row r="2" spans="2:12">
      <c r="B2" s="90" t="s">
        <v>253</v>
      </c>
      <c r="C2" s="35"/>
      <c r="D2" s="35"/>
      <c r="E2" s="35"/>
      <c r="G2" s="35"/>
      <c r="H2" s="35"/>
      <c r="I2" s="35"/>
    </row>
    <row r="3" spans="2:12">
      <c r="B3" s="91"/>
      <c r="C3" s="92" t="s">
        <v>216</v>
      </c>
      <c r="D3" s="92" t="s">
        <v>254</v>
      </c>
      <c r="E3" s="92" t="s">
        <v>255</v>
      </c>
      <c r="F3" s="92" t="s">
        <v>219</v>
      </c>
      <c r="G3" s="92" t="s">
        <v>256</v>
      </c>
      <c r="H3" s="92" t="s">
        <v>257</v>
      </c>
      <c r="I3" s="92" t="s">
        <v>258</v>
      </c>
      <c r="K3" s="21">
        <v>1</v>
      </c>
      <c r="L3" s="21" t="str">
        <f>H3</f>
        <v>m3/s</v>
      </c>
    </row>
    <row r="4" spans="2:12">
      <c r="B4" s="93" t="s">
        <v>216</v>
      </c>
      <c r="C4" s="91">
        <v>1</v>
      </c>
      <c r="D4" s="94">
        <v>60000</v>
      </c>
      <c r="E4" s="91">
        <v>127.12</v>
      </c>
      <c r="F4" s="91">
        <v>2.1185999999999998</v>
      </c>
      <c r="G4" s="91">
        <v>3.6</v>
      </c>
      <c r="H4" s="91">
        <v>1E-3</v>
      </c>
      <c r="I4" s="91">
        <v>1.6670000000000001E-2</v>
      </c>
      <c r="K4" s="95">
        <f>K3*HLOOKUP(L4,C3:I10,MATCH(L3,$B3:$B10,0),FALSE)</f>
        <v>2118.6</v>
      </c>
      <c r="L4" s="21" t="str">
        <f>F3</f>
        <v>cfm</v>
      </c>
    </row>
    <row r="5" spans="2:12">
      <c r="B5" s="93" t="s">
        <v>254</v>
      </c>
      <c r="C5" s="94">
        <v>1.6667000000000002E-5</v>
      </c>
      <c r="D5" s="91">
        <v>1</v>
      </c>
      <c r="E5" s="94">
        <v>2.1186E-3</v>
      </c>
      <c r="F5" s="94">
        <v>3.5311000000000001E-5</v>
      </c>
      <c r="G5" s="94">
        <v>6.0000000000000002E-5</v>
      </c>
      <c r="H5" s="94">
        <v>1.6667E-8</v>
      </c>
      <c r="I5" s="91">
        <v>1E-3</v>
      </c>
    </row>
    <row r="6" spans="2:12">
      <c r="B6" s="93" t="s">
        <v>255</v>
      </c>
      <c r="C6" s="94">
        <v>7.8667000000000008E-3</v>
      </c>
      <c r="D6" s="91">
        <v>472</v>
      </c>
      <c r="E6" s="91">
        <v>1</v>
      </c>
      <c r="F6" s="94">
        <v>1.6667000000000001E-2</v>
      </c>
      <c r="G6" s="94">
        <v>2.8320000000000001E-2</v>
      </c>
      <c r="H6" s="94">
        <v>7.8666700000000001E-4</v>
      </c>
      <c r="I6" s="91">
        <v>0.47199999999999998</v>
      </c>
    </row>
    <row r="7" spans="2:12">
      <c r="B7" s="93" t="s">
        <v>219</v>
      </c>
      <c r="C7" s="91">
        <v>0.47199999999999998</v>
      </c>
      <c r="D7" s="94">
        <v>28320</v>
      </c>
      <c r="E7" s="91">
        <v>60</v>
      </c>
      <c r="F7" s="91">
        <v>1</v>
      </c>
      <c r="G7" s="91">
        <v>1.6992</v>
      </c>
      <c r="H7" s="94">
        <v>4.7199999999999998E-4</v>
      </c>
      <c r="I7" s="91">
        <v>28.32</v>
      </c>
    </row>
    <row r="8" spans="2:12">
      <c r="B8" s="93" t="s">
        <v>256</v>
      </c>
      <c r="C8" s="91">
        <v>0.27779999999999999</v>
      </c>
      <c r="D8" s="94">
        <v>16667</v>
      </c>
      <c r="E8" s="91">
        <v>35.311</v>
      </c>
      <c r="F8" s="91">
        <v>0.58850999999999998</v>
      </c>
      <c r="G8" s="91">
        <v>1</v>
      </c>
      <c r="H8" s="94">
        <v>2.7777999999999999E-4</v>
      </c>
      <c r="I8" s="91">
        <v>16.667000000000002</v>
      </c>
    </row>
    <row r="9" spans="2:12">
      <c r="B9" s="93" t="s">
        <v>257</v>
      </c>
      <c r="C9" s="91">
        <v>1000</v>
      </c>
      <c r="D9" s="94">
        <v>60000000</v>
      </c>
      <c r="E9" s="91">
        <v>1271.2</v>
      </c>
      <c r="F9" s="91">
        <v>2118.6</v>
      </c>
      <c r="G9" s="91">
        <v>3600</v>
      </c>
      <c r="H9" s="91">
        <v>1</v>
      </c>
      <c r="I9" s="94">
        <v>60000</v>
      </c>
    </row>
    <row r="10" spans="2:12">
      <c r="B10" s="93" t="s">
        <v>258</v>
      </c>
      <c r="C10" s="91">
        <v>60</v>
      </c>
      <c r="D10" s="91">
        <v>1000</v>
      </c>
      <c r="E10" s="91">
        <v>2.1185999999999998</v>
      </c>
      <c r="F10" s="94">
        <v>3.5311000000000002E-2</v>
      </c>
      <c r="G10" s="91">
        <v>0.06</v>
      </c>
      <c r="H10" s="94">
        <v>1.6667000000000002E-5</v>
      </c>
      <c r="I10" s="91">
        <v>1</v>
      </c>
    </row>
    <row r="13" spans="2:12">
      <c r="B13" s="96" t="s">
        <v>259</v>
      </c>
    </row>
    <row r="14" spans="2:12">
      <c r="B14" s="91"/>
      <c r="C14" s="97" t="s">
        <v>2</v>
      </c>
      <c r="D14" s="97" t="s">
        <v>260</v>
      </c>
      <c r="E14" s="97" t="s">
        <v>261</v>
      </c>
      <c r="F14" s="97" t="s">
        <v>36</v>
      </c>
      <c r="G14" s="97" t="s">
        <v>262</v>
      </c>
      <c r="H14" s="97" t="s">
        <v>263</v>
      </c>
      <c r="J14" s="21">
        <v>6</v>
      </c>
      <c r="K14" s="21" t="str">
        <f>G14</f>
        <v>in</v>
      </c>
    </row>
    <row r="15" spans="2:12">
      <c r="B15" s="93" t="s">
        <v>2</v>
      </c>
      <c r="C15" s="91">
        <v>1</v>
      </c>
      <c r="D15" s="91">
        <v>100</v>
      </c>
      <c r="E15" s="91">
        <f>1/1000</f>
        <v>1E-3</v>
      </c>
      <c r="F15" s="98">
        <f>G15/12</f>
        <v>3.2808398950131235</v>
      </c>
      <c r="G15" s="98">
        <f>1/(0.0254)</f>
        <v>39.370078740157481</v>
      </c>
      <c r="H15" s="99">
        <f>F15/5280</f>
        <v>6.2137119223733403E-4</v>
      </c>
      <c r="J15" s="100">
        <f>J14*HLOOKUP(K15,C14:H20,MATCH(K14,$B14:$B20,0),FALSE)</f>
        <v>0.15239999999999998</v>
      </c>
      <c r="K15" s="21" t="str">
        <f>C14</f>
        <v>m</v>
      </c>
    </row>
    <row r="16" spans="2:12">
      <c r="B16" s="93" t="s">
        <v>260</v>
      </c>
      <c r="C16" s="91">
        <f>C15/$D$15</f>
        <v>0.01</v>
      </c>
      <c r="D16" s="91">
        <v>1</v>
      </c>
      <c r="E16" s="91">
        <f>E15/$D$15</f>
        <v>1.0000000000000001E-5</v>
      </c>
      <c r="F16" s="101">
        <f>F15/$D$15</f>
        <v>3.2808398950131233E-2</v>
      </c>
      <c r="G16" s="101">
        <f>G15/$D$15</f>
        <v>0.39370078740157483</v>
      </c>
      <c r="H16" s="99">
        <f>H15/$D$15</f>
        <v>6.2137119223733401E-6</v>
      </c>
    </row>
    <row r="17" spans="2:13">
      <c r="B17" s="93" t="s">
        <v>261</v>
      </c>
      <c r="C17" s="91">
        <f>C15/$E$15</f>
        <v>1000</v>
      </c>
      <c r="D17" s="91">
        <f>D15/$E$15</f>
        <v>100000</v>
      </c>
      <c r="E17" s="91">
        <v>1</v>
      </c>
      <c r="F17" s="102">
        <f>F15/$E$15</f>
        <v>3280.8398950131232</v>
      </c>
      <c r="G17" s="102">
        <f>G15/$E$15</f>
        <v>39370.078740157478</v>
      </c>
      <c r="H17" s="103">
        <f>H15/$E$15</f>
        <v>0.62137119223733406</v>
      </c>
    </row>
    <row r="18" spans="2:13">
      <c r="B18" s="93" t="s">
        <v>36</v>
      </c>
      <c r="C18" s="91">
        <f>C15/$F$15</f>
        <v>0.30480000000000002</v>
      </c>
      <c r="D18" s="91">
        <f>D15/$F$15</f>
        <v>30.48</v>
      </c>
      <c r="E18" s="99">
        <f>E15/$F$15</f>
        <v>3.0479999999999998E-4</v>
      </c>
      <c r="F18" s="91">
        <v>1</v>
      </c>
      <c r="G18" s="91">
        <f>G15/$F$15</f>
        <v>12</v>
      </c>
      <c r="H18" s="99">
        <f>H15/$F$15</f>
        <v>1.8939393939393939E-4</v>
      </c>
    </row>
    <row r="19" spans="2:13">
      <c r="B19" s="93" t="s">
        <v>262</v>
      </c>
      <c r="C19" s="104">
        <f>C15/$G$15</f>
        <v>2.5399999999999999E-2</v>
      </c>
      <c r="D19" s="98">
        <f>D15/G15</f>
        <v>2.54</v>
      </c>
      <c r="E19" s="99">
        <f>E15/$G$15</f>
        <v>2.5400000000000001E-5</v>
      </c>
      <c r="F19" s="104">
        <f>F15/$G$15</f>
        <v>8.3333333333333329E-2</v>
      </c>
      <c r="G19" s="91">
        <v>1</v>
      </c>
      <c r="H19" s="99">
        <f>H15/$G$15</f>
        <v>1.5782828282828283E-5</v>
      </c>
    </row>
    <row r="20" spans="2:13">
      <c r="B20" s="93" t="s">
        <v>263</v>
      </c>
      <c r="C20" s="99">
        <f>C15/$H$15</f>
        <v>1609.3439999999998</v>
      </c>
      <c r="D20" s="99">
        <f>D15/$H$15</f>
        <v>160934.39999999999</v>
      </c>
      <c r="E20" s="99">
        <f>E15/$H$15</f>
        <v>1.6093439999999999</v>
      </c>
      <c r="F20" s="99">
        <f>F15/$H$15</f>
        <v>5280</v>
      </c>
      <c r="G20" s="99">
        <f>G15/$H$15</f>
        <v>63359.999999999993</v>
      </c>
      <c r="H20" s="91">
        <v>1</v>
      </c>
    </row>
    <row r="23" spans="2:13">
      <c r="B23" s="96" t="s">
        <v>53</v>
      </c>
    </row>
    <row r="24" spans="2:13">
      <c r="B24" s="105"/>
      <c r="C24" s="92" t="s">
        <v>264</v>
      </c>
      <c r="D24" s="92" t="s">
        <v>265</v>
      </c>
      <c r="E24" s="106" t="s">
        <v>266</v>
      </c>
      <c r="F24" s="92" t="s">
        <v>267</v>
      </c>
      <c r="G24" s="92" t="s">
        <v>268</v>
      </c>
      <c r="H24" s="92" t="s">
        <v>269</v>
      </c>
      <c r="I24" s="92" t="s">
        <v>270</v>
      </c>
      <c r="J24" s="92" t="s">
        <v>271</v>
      </c>
      <c r="L24" s="21">
        <v>1</v>
      </c>
      <c r="M24" s="21" t="str">
        <f>C24</f>
        <v>m2</v>
      </c>
    </row>
    <row r="25" spans="2:13">
      <c r="B25" s="93" t="s">
        <v>264</v>
      </c>
      <c r="C25" s="107">
        <v>1</v>
      </c>
      <c r="D25" s="108">
        <f>C25*100*100</f>
        <v>10000</v>
      </c>
      <c r="E25" s="109">
        <f>C25/1000/1000</f>
        <v>9.9999999999999995E-7</v>
      </c>
      <c r="F25" s="110">
        <f>E25</f>
        <v>9.9999999999999995E-7</v>
      </c>
      <c r="G25" s="111">
        <f>H25/12/12</f>
        <v>10.763910416709722</v>
      </c>
      <c r="H25" s="112">
        <f>D25/2.54/2.54</f>
        <v>1550.0031000061999</v>
      </c>
      <c r="I25" s="113">
        <v>2.4709999999999999E-4</v>
      </c>
      <c r="J25" s="114">
        <v>3.861E-7</v>
      </c>
      <c r="L25" s="95">
        <f>L24*HLOOKUP(M25,C24:J32,MATCH(M24,$B24:$B32,0),FALSE)</f>
        <v>1</v>
      </c>
      <c r="M25" s="21" t="str">
        <f>C24</f>
        <v>m2</v>
      </c>
    </row>
    <row r="26" spans="2:13">
      <c r="B26" s="93" t="s">
        <v>265</v>
      </c>
      <c r="C26" s="110">
        <f>C25/$D$25</f>
        <v>1E-4</v>
      </c>
      <c r="D26" s="107">
        <v>1</v>
      </c>
      <c r="E26" s="110">
        <f t="shared" ref="E26:J26" si="0">E25/$D$25</f>
        <v>9.9999999999999991E-11</v>
      </c>
      <c r="F26" s="110">
        <f t="shared" si="0"/>
        <v>9.9999999999999991E-11</v>
      </c>
      <c r="G26" s="113">
        <f t="shared" si="0"/>
        <v>1.0763910416709721E-3</v>
      </c>
      <c r="H26" s="114">
        <f t="shared" si="0"/>
        <v>0.15500031000062001</v>
      </c>
      <c r="I26" s="113">
        <f t="shared" si="0"/>
        <v>2.4709999999999998E-8</v>
      </c>
      <c r="J26" s="114">
        <f t="shared" si="0"/>
        <v>3.8609999999999996E-11</v>
      </c>
    </row>
    <row r="27" spans="2:13">
      <c r="B27" s="93" t="s">
        <v>266</v>
      </c>
      <c r="C27" s="110">
        <f>C25/$E$25</f>
        <v>1000000</v>
      </c>
      <c r="D27" s="110">
        <f>D25/$E$25</f>
        <v>10000000000</v>
      </c>
      <c r="E27" s="107">
        <v>1</v>
      </c>
      <c r="F27" s="115">
        <f>F25/$E$25</f>
        <v>1</v>
      </c>
      <c r="G27" s="113">
        <f>G25/$E$25</f>
        <v>10763910.416709723</v>
      </c>
      <c r="H27" s="114">
        <f>H25/$E$25</f>
        <v>1550003100.0062001</v>
      </c>
      <c r="I27" s="116">
        <f>I25/$E$25</f>
        <v>247.1</v>
      </c>
      <c r="J27" s="117">
        <f>J25/$E$25</f>
        <v>0.3861</v>
      </c>
    </row>
    <row r="28" spans="2:13">
      <c r="B28" s="93" t="s">
        <v>267</v>
      </c>
      <c r="C28" s="110">
        <f>C25/$F$25</f>
        <v>1000000</v>
      </c>
      <c r="D28" s="110">
        <f>D25/$F$25</f>
        <v>10000000000</v>
      </c>
      <c r="E28" s="115">
        <f>E25/$F$25</f>
        <v>1</v>
      </c>
      <c r="F28" s="107">
        <v>1</v>
      </c>
      <c r="G28" s="113">
        <f>G25/$F$25</f>
        <v>10763910.416709723</v>
      </c>
      <c r="H28" s="114">
        <f>H25/$F$25</f>
        <v>1550003100.0062001</v>
      </c>
      <c r="I28" s="114">
        <f>I25/$F$25</f>
        <v>247.1</v>
      </c>
      <c r="J28" s="117">
        <f>J25/$F$25</f>
        <v>0.3861</v>
      </c>
    </row>
    <row r="29" spans="2:13">
      <c r="B29" s="93" t="s">
        <v>268</v>
      </c>
      <c r="C29" s="118">
        <f>C25/$G$25</f>
        <v>9.2903040000000006E-2</v>
      </c>
      <c r="D29" s="111">
        <f>D25/$G$25</f>
        <v>929.03039999999999</v>
      </c>
      <c r="E29" s="114">
        <f>E25/$G$25</f>
        <v>9.2903039999999994E-8</v>
      </c>
      <c r="F29" s="114">
        <f>F25/$G$25</f>
        <v>9.2903039999999994E-8</v>
      </c>
      <c r="G29" s="107">
        <v>1</v>
      </c>
      <c r="H29" s="111">
        <f>H25/$G$25</f>
        <v>144</v>
      </c>
      <c r="I29" s="114">
        <f>I25/$G$25</f>
        <v>2.2956341183999999E-5</v>
      </c>
      <c r="J29" s="114">
        <f>J25/$G$25</f>
        <v>3.5869863744000001E-8</v>
      </c>
    </row>
    <row r="30" spans="2:13">
      <c r="B30" s="93" t="s">
        <v>269</v>
      </c>
      <c r="C30" s="114">
        <f>C25/$H$25</f>
        <v>6.4515999999999998E-4</v>
      </c>
      <c r="D30" s="111">
        <f>D25/$H$25</f>
        <v>6.4516</v>
      </c>
      <c r="E30" s="114">
        <f>E25/$H$25</f>
        <v>6.4515999999999997E-10</v>
      </c>
      <c r="F30" s="114">
        <f>F25/$H$25</f>
        <v>6.4515999999999997E-10</v>
      </c>
      <c r="G30" s="114">
        <f>G25/$H$25</f>
        <v>6.9444444444444449E-3</v>
      </c>
      <c r="H30" s="107">
        <v>1</v>
      </c>
      <c r="I30" s="114">
        <f>I25/$H$25</f>
        <v>1.59419036E-7</v>
      </c>
      <c r="J30" s="114">
        <f>J25/$H$25</f>
        <v>2.4909627599999999E-10</v>
      </c>
    </row>
    <row r="31" spans="2:13">
      <c r="B31" s="93" t="s">
        <v>270</v>
      </c>
      <c r="C31" s="108">
        <f t="shared" ref="C31:H31" si="1">C25/$I$25</f>
        <v>4046.9445568595711</v>
      </c>
      <c r="D31" s="114">
        <f t="shared" si="1"/>
        <v>40469445.568595715</v>
      </c>
      <c r="E31" s="114">
        <f t="shared" si="1"/>
        <v>4.0469445568595708E-3</v>
      </c>
      <c r="F31" s="114">
        <f t="shared" si="1"/>
        <v>4.0469445568595708E-3</v>
      </c>
      <c r="G31" s="108">
        <f t="shared" si="1"/>
        <v>43560.948671427446</v>
      </c>
      <c r="H31" s="114">
        <f t="shared" si="1"/>
        <v>6272776.6086855521</v>
      </c>
      <c r="I31" s="107">
        <v>1</v>
      </c>
      <c r="J31" s="114">
        <f>J25/$I$25</f>
        <v>1.5625252934034805E-3</v>
      </c>
    </row>
    <row r="32" spans="2:13">
      <c r="B32" s="93" t="s">
        <v>271</v>
      </c>
      <c r="C32" s="114">
        <f>C25/$J$25</f>
        <v>2590002.5900025899</v>
      </c>
      <c r="D32" s="114">
        <f t="shared" ref="D32:I32" si="2">D25/$J$25</f>
        <v>25900025900.025902</v>
      </c>
      <c r="E32" s="119">
        <f t="shared" si="2"/>
        <v>2.59000259000259</v>
      </c>
      <c r="F32" s="119">
        <f t="shared" si="2"/>
        <v>2.59000259000259</v>
      </c>
      <c r="G32" s="114">
        <f t="shared" si="2"/>
        <v>27878555.857834037</v>
      </c>
      <c r="H32" s="114">
        <f t="shared" si="2"/>
        <v>4014512043.5281014</v>
      </c>
      <c r="I32" s="119">
        <f t="shared" si="2"/>
        <v>639.98963998963995</v>
      </c>
      <c r="J32" s="10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30CF2-2B6A-4E2A-9757-8648F0137FB8}">
  <dimension ref="A2:U16"/>
  <sheetViews>
    <sheetView workbookViewId="0">
      <selection activeCell="C20" sqref="C20"/>
    </sheetView>
  </sheetViews>
  <sheetFormatPr defaultRowHeight="15"/>
  <cols>
    <col min="1" max="1" width="11.28515625" bestFit="1" customWidth="1"/>
    <col min="2" max="2" width="7" bestFit="1" customWidth="1"/>
    <col min="3" max="3" width="6" bestFit="1" customWidth="1"/>
    <col min="4" max="4" width="7" bestFit="1" customWidth="1"/>
    <col min="5" max="5" width="9.5703125" bestFit="1" customWidth="1"/>
    <col min="6" max="6" width="2.7109375" customWidth="1"/>
    <col min="7" max="7" width="15.28515625" bestFit="1" customWidth="1"/>
    <col min="8" max="8" width="6.28515625" bestFit="1" customWidth="1"/>
    <col min="9" max="9" width="6.7109375" bestFit="1" customWidth="1"/>
    <col min="10" max="10" width="7" bestFit="1" customWidth="1"/>
    <col min="11" max="11" width="8" bestFit="1" customWidth="1"/>
    <col min="12" max="12" width="6.85546875" bestFit="1" customWidth="1"/>
    <col min="13" max="13" width="7" customWidth="1"/>
    <col min="14" max="14" width="2.7109375" customWidth="1"/>
    <col min="15" max="15" width="6.7109375" bestFit="1" customWidth="1"/>
    <col min="16" max="16" width="12.5703125" bestFit="1" customWidth="1"/>
    <col min="17" max="17" width="9.28515625" bestFit="1" customWidth="1"/>
    <col min="18" max="18" width="6.42578125" customWidth="1"/>
    <col min="19" max="19" width="10.42578125" bestFit="1" customWidth="1"/>
  </cols>
  <sheetData>
    <row r="2" spans="1:21" ht="18">
      <c r="B2" s="34" t="s">
        <v>69</v>
      </c>
      <c r="C2" s="34" t="s">
        <v>70</v>
      </c>
      <c r="D2" s="34" t="s">
        <v>78</v>
      </c>
      <c r="E2" s="34" t="s">
        <v>71</v>
      </c>
      <c r="F2" s="34"/>
      <c r="G2" s="34"/>
      <c r="H2" s="34" t="s">
        <v>72</v>
      </c>
      <c r="I2" s="34" t="s">
        <v>73</v>
      </c>
      <c r="J2" s="34" t="s">
        <v>78</v>
      </c>
      <c r="K2" s="34" t="s">
        <v>74</v>
      </c>
      <c r="L2" s="34" t="s">
        <v>79</v>
      </c>
      <c r="M2" s="34" t="s">
        <v>75</v>
      </c>
      <c r="N2" s="34"/>
      <c r="O2" s="34" t="s">
        <v>82</v>
      </c>
      <c r="P2" s="34" t="s">
        <v>76</v>
      </c>
      <c r="Q2" s="34" t="s">
        <v>77</v>
      </c>
      <c r="S2" t="s">
        <v>67</v>
      </c>
      <c r="T2">
        <v>0.4</v>
      </c>
    </row>
    <row r="3" spans="1:21" ht="17.25">
      <c r="B3" s="35" t="s">
        <v>2</v>
      </c>
      <c r="C3" s="35" t="s">
        <v>2</v>
      </c>
      <c r="E3" s="35" t="s">
        <v>20</v>
      </c>
      <c r="F3" s="35"/>
      <c r="G3" s="35"/>
      <c r="H3" s="35" t="s">
        <v>2</v>
      </c>
      <c r="I3" s="35" t="s">
        <v>2</v>
      </c>
      <c r="K3" s="35" t="s">
        <v>20</v>
      </c>
      <c r="L3" s="35"/>
      <c r="M3" s="35"/>
      <c r="N3" s="35"/>
      <c r="O3" s="35" t="s">
        <v>2</v>
      </c>
      <c r="S3" t="s">
        <v>68</v>
      </c>
      <c r="T3">
        <f>2*(12+9)*3</f>
        <v>126</v>
      </c>
      <c r="U3" t="s">
        <v>20</v>
      </c>
    </row>
    <row r="4" spans="1:21" ht="17.25">
      <c r="A4" t="s">
        <v>80</v>
      </c>
      <c r="B4" s="36">
        <v>5</v>
      </c>
      <c r="C4" s="36">
        <v>3</v>
      </c>
      <c r="D4" s="5">
        <f t="shared" ref="D4:D13" si="0">B4/C4</f>
        <v>1.6666666666666667</v>
      </c>
      <c r="E4" s="1">
        <f t="shared" ref="E4:E13" si="1">B4*C4</f>
        <v>15</v>
      </c>
      <c r="F4" s="1"/>
      <c r="G4" t="s">
        <v>92</v>
      </c>
      <c r="H4" s="36">
        <v>1</v>
      </c>
      <c r="I4" s="36">
        <v>1.5</v>
      </c>
      <c r="J4" s="5">
        <f t="shared" ref="J4:J13" si="2">H4/I4</f>
        <v>0.66666666666666663</v>
      </c>
      <c r="K4" s="1">
        <f t="shared" ref="K4:K13" si="3">H4*I4</f>
        <v>1.5</v>
      </c>
      <c r="L4" s="37">
        <v>1</v>
      </c>
      <c r="M4" s="5">
        <f t="shared" ref="M4:M13" si="4">K4*L4/E4</f>
        <v>0.1</v>
      </c>
      <c r="N4" s="1"/>
      <c r="O4" s="1">
        <f t="shared" ref="O4:O13" si="5">B4/(2*L4)</f>
        <v>2.5</v>
      </c>
      <c r="P4" s="1">
        <f t="shared" ref="P4:P13" si="6">I4/C4</f>
        <v>0.5</v>
      </c>
      <c r="Q4" s="5">
        <f t="shared" ref="Q4:Q13" si="7">(C4-I4)/2</f>
        <v>0.75</v>
      </c>
      <c r="T4">
        <f>T3*T2</f>
        <v>50.400000000000006</v>
      </c>
      <c r="U4" t="s">
        <v>20</v>
      </c>
    </row>
    <row r="5" spans="1:21">
      <c r="A5" t="s">
        <v>81</v>
      </c>
      <c r="B5" s="36">
        <v>5</v>
      </c>
      <c r="C5" s="36">
        <v>3</v>
      </c>
      <c r="D5" s="5">
        <f t="shared" si="0"/>
        <v>1.6666666666666667</v>
      </c>
      <c r="E5" s="1">
        <f t="shared" si="1"/>
        <v>15</v>
      </c>
      <c r="F5" s="1"/>
      <c r="G5" t="s">
        <v>91</v>
      </c>
      <c r="H5" s="36">
        <v>2.5</v>
      </c>
      <c r="I5" s="36">
        <v>2</v>
      </c>
      <c r="J5" s="5">
        <f t="shared" si="2"/>
        <v>1.25</v>
      </c>
      <c r="K5" s="1">
        <f t="shared" si="3"/>
        <v>5</v>
      </c>
      <c r="L5" s="37">
        <v>1</v>
      </c>
      <c r="M5" s="5">
        <f t="shared" si="4"/>
        <v>0.33333333333333331</v>
      </c>
      <c r="N5" s="1"/>
      <c r="O5" s="1">
        <f t="shared" si="5"/>
        <v>2.5</v>
      </c>
      <c r="P5" s="1">
        <f t="shared" si="6"/>
        <v>0.66666666666666663</v>
      </c>
      <c r="Q5" s="5">
        <f t="shared" si="7"/>
        <v>0.5</v>
      </c>
    </row>
    <row r="6" spans="1:21">
      <c r="A6" t="s">
        <v>85</v>
      </c>
      <c r="B6" s="36">
        <v>4</v>
      </c>
      <c r="C6" s="36">
        <v>3</v>
      </c>
      <c r="D6" s="5">
        <f t="shared" si="0"/>
        <v>1.3333333333333333</v>
      </c>
      <c r="E6" s="1">
        <f t="shared" si="1"/>
        <v>12</v>
      </c>
      <c r="F6" s="1"/>
      <c r="G6" t="s">
        <v>93</v>
      </c>
      <c r="H6" s="36">
        <v>1.8</v>
      </c>
      <c r="I6" s="36">
        <v>1.5</v>
      </c>
      <c r="J6" s="5">
        <f t="shared" si="2"/>
        <v>1.2</v>
      </c>
      <c r="K6" s="1">
        <f t="shared" si="3"/>
        <v>2.7</v>
      </c>
      <c r="L6" s="37">
        <v>1</v>
      </c>
      <c r="M6" s="5">
        <f t="shared" si="4"/>
        <v>0.22500000000000001</v>
      </c>
      <c r="N6" s="1"/>
      <c r="O6" s="1">
        <f t="shared" si="5"/>
        <v>2</v>
      </c>
      <c r="P6" s="1">
        <f t="shared" si="6"/>
        <v>0.5</v>
      </c>
      <c r="Q6" s="5">
        <f t="shared" si="7"/>
        <v>0.75</v>
      </c>
    </row>
    <row r="7" spans="1:21">
      <c r="A7" t="s">
        <v>86</v>
      </c>
      <c r="B7" s="36">
        <v>5</v>
      </c>
      <c r="C7" s="36">
        <v>3</v>
      </c>
      <c r="D7" s="5">
        <f t="shared" si="0"/>
        <v>1.6666666666666667</v>
      </c>
      <c r="E7" s="1">
        <f t="shared" si="1"/>
        <v>15</v>
      </c>
      <c r="F7" s="1"/>
      <c r="G7" t="s">
        <v>93</v>
      </c>
      <c r="H7" s="36">
        <v>1.8</v>
      </c>
      <c r="I7" s="36">
        <v>1.5</v>
      </c>
      <c r="J7" s="5">
        <f t="shared" si="2"/>
        <v>1.2</v>
      </c>
      <c r="K7" s="1">
        <f t="shared" si="3"/>
        <v>2.7</v>
      </c>
      <c r="L7" s="37">
        <v>1</v>
      </c>
      <c r="M7" s="5">
        <f t="shared" si="4"/>
        <v>0.18000000000000002</v>
      </c>
      <c r="N7" s="1"/>
      <c r="O7" s="1">
        <f t="shared" si="5"/>
        <v>2.5</v>
      </c>
      <c r="P7" s="1">
        <f t="shared" si="6"/>
        <v>0.5</v>
      </c>
      <c r="Q7" s="5">
        <f t="shared" si="7"/>
        <v>0.75</v>
      </c>
    </row>
    <row r="8" spans="1:21">
      <c r="A8" t="s">
        <v>87</v>
      </c>
      <c r="B8" s="36">
        <v>4</v>
      </c>
      <c r="C8" s="36">
        <v>3</v>
      </c>
      <c r="D8" s="5">
        <f t="shared" si="0"/>
        <v>1.3333333333333333</v>
      </c>
      <c r="E8" s="1">
        <f t="shared" si="1"/>
        <v>12</v>
      </c>
      <c r="F8" s="1"/>
      <c r="G8" t="s">
        <v>93</v>
      </c>
      <c r="H8" s="36">
        <v>1.8</v>
      </c>
      <c r="I8" s="36">
        <v>1.5</v>
      </c>
      <c r="J8" s="5">
        <f t="shared" si="2"/>
        <v>1.2</v>
      </c>
      <c r="K8" s="1">
        <f t="shared" si="3"/>
        <v>2.7</v>
      </c>
      <c r="L8" s="37">
        <v>1</v>
      </c>
      <c r="M8" s="5">
        <f t="shared" si="4"/>
        <v>0.22500000000000001</v>
      </c>
      <c r="N8" s="1"/>
      <c r="O8" s="1">
        <f t="shared" si="5"/>
        <v>2</v>
      </c>
      <c r="P8" s="1">
        <f t="shared" si="6"/>
        <v>0.5</v>
      </c>
      <c r="Q8" s="5">
        <f t="shared" si="7"/>
        <v>0.75</v>
      </c>
    </row>
    <row r="9" spans="1:21">
      <c r="A9" t="s">
        <v>88</v>
      </c>
      <c r="B9" s="36">
        <v>4</v>
      </c>
      <c r="C9" s="36">
        <v>3</v>
      </c>
      <c r="D9" s="5">
        <f t="shared" si="0"/>
        <v>1.3333333333333333</v>
      </c>
      <c r="E9" s="1">
        <f t="shared" si="1"/>
        <v>12</v>
      </c>
      <c r="F9" s="1"/>
      <c r="G9" t="s">
        <v>93</v>
      </c>
      <c r="H9" s="36">
        <v>1.8</v>
      </c>
      <c r="I9" s="36">
        <v>1.5</v>
      </c>
      <c r="J9" s="5">
        <f t="shared" si="2"/>
        <v>1.2</v>
      </c>
      <c r="K9" s="1">
        <f t="shared" si="3"/>
        <v>2.7</v>
      </c>
      <c r="L9" s="37">
        <v>1</v>
      </c>
      <c r="M9" s="5">
        <f t="shared" si="4"/>
        <v>0.22500000000000001</v>
      </c>
      <c r="N9" s="1"/>
      <c r="O9" s="1">
        <f t="shared" si="5"/>
        <v>2</v>
      </c>
      <c r="P9" s="1">
        <f t="shared" si="6"/>
        <v>0.5</v>
      </c>
      <c r="Q9" s="5">
        <f t="shared" si="7"/>
        <v>0.75</v>
      </c>
    </row>
    <row r="10" spans="1:21">
      <c r="A10" t="s">
        <v>83</v>
      </c>
      <c r="B10" s="36">
        <v>3</v>
      </c>
      <c r="C10" s="36">
        <v>3</v>
      </c>
      <c r="D10" s="5">
        <f t="shared" si="0"/>
        <v>1</v>
      </c>
      <c r="E10" s="1">
        <f t="shared" si="1"/>
        <v>9</v>
      </c>
      <c r="F10" s="1"/>
      <c r="G10" t="s">
        <v>93</v>
      </c>
      <c r="H10" s="36">
        <v>1.8</v>
      </c>
      <c r="I10" s="36">
        <v>1.5</v>
      </c>
      <c r="J10" s="5">
        <f t="shared" si="2"/>
        <v>1.2</v>
      </c>
      <c r="K10" s="1">
        <f t="shared" si="3"/>
        <v>2.7</v>
      </c>
      <c r="L10" s="37">
        <v>1</v>
      </c>
      <c r="M10" s="5">
        <f t="shared" si="4"/>
        <v>0.30000000000000004</v>
      </c>
      <c r="N10" s="1"/>
      <c r="O10" s="1">
        <f t="shared" si="5"/>
        <v>1.5</v>
      </c>
      <c r="P10" s="1">
        <f t="shared" si="6"/>
        <v>0.5</v>
      </c>
      <c r="Q10" s="5">
        <f t="shared" si="7"/>
        <v>0.75</v>
      </c>
    </row>
    <row r="11" spans="1:21">
      <c r="A11" t="s">
        <v>84</v>
      </c>
      <c r="B11" s="36">
        <v>6</v>
      </c>
      <c r="C11" s="36">
        <v>3</v>
      </c>
      <c r="D11" s="5">
        <f t="shared" si="0"/>
        <v>2</v>
      </c>
      <c r="E11" s="1">
        <f t="shared" si="1"/>
        <v>18</v>
      </c>
      <c r="F11" s="1"/>
      <c r="G11" t="s">
        <v>93</v>
      </c>
      <c r="H11" s="36">
        <v>1.8</v>
      </c>
      <c r="I11" s="36">
        <v>1.5</v>
      </c>
      <c r="J11" s="5">
        <f t="shared" si="2"/>
        <v>1.2</v>
      </c>
      <c r="K11" s="1">
        <f t="shared" si="3"/>
        <v>2.7</v>
      </c>
      <c r="L11" s="37">
        <v>1</v>
      </c>
      <c r="M11" s="5">
        <f t="shared" si="4"/>
        <v>0.15000000000000002</v>
      </c>
      <c r="N11" s="1"/>
      <c r="O11" s="1">
        <f t="shared" si="5"/>
        <v>3</v>
      </c>
      <c r="P11" s="1">
        <f t="shared" si="6"/>
        <v>0.5</v>
      </c>
      <c r="Q11" s="5">
        <f t="shared" si="7"/>
        <v>0.75</v>
      </c>
    </row>
    <row r="12" spans="1:21">
      <c r="A12" t="s">
        <v>89</v>
      </c>
      <c r="B12" s="36">
        <v>3</v>
      </c>
      <c r="C12" s="36">
        <v>3</v>
      </c>
      <c r="D12" s="5">
        <f t="shared" si="0"/>
        <v>1</v>
      </c>
      <c r="E12" s="1">
        <f t="shared" si="1"/>
        <v>9</v>
      </c>
      <c r="F12" s="1"/>
      <c r="G12" t="s">
        <v>94</v>
      </c>
      <c r="H12" s="36">
        <v>1</v>
      </c>
      <c r="I12" s="36">
        <v>0.75</v>
      </c>
      <c r="J12" s="5">
        <f t="shared" si="2"/>
        <v>1.3333333333333333</v>
      </c>
      <c r="K12" s="1">
        <f t="shared" si="3"/>
        <v>0.75</v>
      </c>
      <c r="L12" s="37">
        <v>1</v>
      </c>
      <c r="M12" s="5">
        <f t="shared" si="4"/>
        <v>8.3333333333333329E-2</v>
      </c>
      <c r="N12" s="1"/>
      <c r="O12" s="1">
        <f t="shared" si="5"/>
        <v>1.5</v>
      </c>
      <c r="P12" s="1">
        <f t="shared" si="6"/>
        <v>0.25</v>
      </c>
      <c r="Q12" s="5">
        <f t="shared" si="7"/>
        <v>1.125</v>
      </c>
    </row>
    <row r="13" spans="1:21">
      <c r="A13" t="s">
        <v>90</v>
      </c>
      <c r="B13" s="36">
        <v>3</v>
      </c>
      <c r="C13" s="36">
        <v>3</v>
      </c>
      <c r="D13" s="5">
        <f t="shared" si="0"/>
        <v>1</v>
      </c>
      <c r="E13" s="1">
        <f t="shared" si="1"/>
        <v>9</v>
      </c>
      <c r="F13" s="1"/>
      <c r="G13" t="s">
        <v>94</v>
      </c>
      <c r="H13" s="36">
        <v>1</v>
      </c>
      <c r="I13" s="36">
        <v>0.75</v>
      </c>
      <c r="J13" s="5">
        <f t="shared" si="2"/>
        <v>1.3333333333333333</v>
      </c>
      <c r="K13" s="1">
        <f t="shared" si="3"/>
        <v>0.75</v>
      </c>
      <c r="L13" s="37">
        <v>1</v>
      </c>
      <c r="M13" s="5">
        <f t="shared" si="4"/>
        <v>8.3333333333333329E-2</v>
      </c>
      <c r="N13" s="1"/>
      <c r="O13" s="1">
        <f t="shared" si="5"/>
        <v>1.5</v>
      </c>
      <c r="P13" s="1">
        <f t="shared" si="6"/>
        <v>0.25</v>
      </c>
      <c r="Q13" s="5">
        <f t="shared" si="7"/>
        <v>1.125</v>
      </c>
    </row>
    <row r="14" spans="1:21">
      <c r="E14" s="12">
        <f>SUM(E4:E13)</f>
        <v>126</v>
      </c>
      <c r="K14" s="12">
        <f>SUM(K4:K13)</f>
        <v>24.199999999999996</v>
      </c>
      <c r="M14" s="48">
        <f>K14/E14</f>
        <v>0.19206349206349202</v>
      </c>
    </row>
    <row r="16" spans="1:21">
      <c r="B16" s="12"/>
      <c r="C16" s="12"/>
      <c r="D16" s="5"/>
      <c r="E16" s="1"/>
      <c r="H16" s="12"/>
      <c r="I16" s="12"/>
      <c r="K16" s="12"/>
      <c r="L16" s="38"/>
      <c r="M16" s="5"/>
      <c r="O16" s="1"/>
      <c r="P16" s="1"/>
      <c r="Q16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23EC5-2B6F-4E6B-B8F4-CD325787AA4C}">
  <dimension ref="A1:S39"/>
  <sheetViews>
    <sheetView workbookViewId="0">
      <selection activeCell="L8" sqref="L8"/>
    </sheetView>
  </sheetViews>
  <sheetFormatPr defaultRowHeight="15"/>
  <cols>
    <col min="1" max="1" width="15.140625" bestFit="1" customWidth="1"/>
    <col min="2" max="2" width="12.5703125" bestFit="1" customWidth="1"/>
    <col min="4" max="4" width="3.7109375" customWidth="1"/>
    <col min="7" max="7" width="10.85546875" customWidth="1"/>
    <col min="8" max="8" width="14.7109375" bestFit="1" customWidth="1"/>
    <col min="11" max="11" width="10.42578125" bestFit="1" customWidth="1"/>
    <col min="12" max="12" width="9.28515625" bestFit="1" customWidth="1"/>
    <col min="17" max="17" width="9.5703125" bestFit="1" customWidth="1"/>
  </cols>
  <sheetData>
    <row r="1" spans="1:19">
      <c r="A1" s="3" t="s">
        <v>275</v>
      </c>
    </row>
    <row r="2" spans="1:19">
      <c r="A2" t="s">
        <v>1</v>
      </c>
      <c r="B2" s="8">
        <v>12</v>
      </c>
      <c r="C2" t="s">
        <v>2</v>
      </c>
      <c r="E2" s="12">
        <f>B2*Conversions!$F$15</f>
        <v>39.370078740157481</v>
      </c>
      <c r="F2" t="s">
        <v>36</v>
      </c>
      <c r="I2" s="3" t="s">
        <v>103</v>
      </c>
      <c r="J2" s="3"/>
      <c r="K2" s="3"/>
    </row>
    <row r="3" spans="1:19">
      <c r="A3" t="s">
        <v>3</v>
      </c>
      <c r="B3" s="8">
        <v>9</v>
      </c>
      <c r="C3" t="s">
        <v>2</v>
      </c>
      <c r="E3" s="12">
        <f>B3*Conversions!$F$15</f>
        <v>29.527559055118111</v>
      </c>
      <c r="F3" t="s">
        <v>36</v>
      </c>
      <c r="I3" s="34" t="s">
        <v>26</v>
      </c>
      <c r="J3" s="34" t="s">
        <v>107</v>
      </c>
      <c r="K3" s="139" t="s">
        <v>108</v>
      </c>
      <c r="L3" s="139"/>
    </row>
    <row r="4" spans="1:19" ht="17.25">
      <c r="A4" t="s">
        <v>18</v>
      </c>
      <c r="B4" s="8">
        <v>3</v>
      </c>
      <c r="C4" t="s">
        <v>2</v>
      </c>
      <c r="E4" s="12">
        <f>B4*Conversions!$F$15</f>
        <v>9.8425196850393704</v>
      </c>
      <c r="F4" t="s">
        <v>36</v>
      </c>
      <c r="I4" s="35" t="s">
        <v>20</v>
      </c>
      <c r="J4" s="132" t="s">
        <v>31</v>
      </c>
      <c r="K4" s="35" t="s">
        <v>33</v>
      </c>
      <c r="L4" s="35" t="s">
        <v>20</v>
      </c>
    </row>
    <row r="5" spans="1:19" ht="17.25">
      <c r="A5" t="s">
        <v>19</v>
      </c>
      <c r="B5" s="47">
        <f>B2*B3</f>
        <v>108</v>
      </c>
      <c r="C5" t="s">
        <v>20</v>
      </c>
      <c r="E5" s="14">
        <f>E2*E3</f>
        <v>1162.5023250046502</v>
      </c>
      <c r="F5" t="s">
        <v>37</v>
      </c>
      <c r="H5" s="3" t="s">
        <v>106</v>
      </c>
      <c r="I5" s="50">
        <f>B6</f>
        <v>126</v>
      </c>
      <c r="J5" s="78">
        <v>3</v>
      </c>
      <c r="K5" s="1">
        <f>I5*J5</f>
        <v>378</v>
      </c>
      <c r="L5" s="133">
        <f>K5/10000</f>
        <v>3.78E-2</v>
      </c>
    </row>
    <row r="6" spans="1:19" ht="17.25">
      <c r="A6" t="s">
        <v>25</v>
      </c>
      <c r="B6" s="4">
        <f>(B2+B3)*2*B4</f>
        <v>126</v>
      </c>
      <c r="C6" t="s">
        <v>20</v>
      </c>
      <c r="E6" s="14">
        <f>(E2+E3)*2*E4</f>
        <v>1356.2527125054251</v>
      </c>
      <c r="F6" t="s">
        <v>37</v>
      </c>
      <c r="H6" s="3" t="s">
        <v>105</v>
      </c>
      <c r="I6" s="53">
        <f>B5</f>
        <v>108</v>
      </c>
      <c r="J6" s="78">
        <f>J5</f>
        <v>3</v>
      </c>
      <c r="K6" s="1">
        <f t="shared" ref="K6:K7" si="0">I6*J6</f>
        <v>324</v>
      </c>
      <c r="L6" s="134">
        <f t="shared" ref="L6:L7" si="1">K6/10000</f>
        <v>3.2399999999999998E-2</v>
      </c>
    </row>
    <row r="7" spans="1:19" ht="17.25">
      <c r="A7" t="s">
        <v>26</v>
      </c>
      <c r="B7" s="4">
        <f>2*B5+B6</f>
        <v>342</v>
      </c>
      <c r="C7" t="s">
        <v>20</v>
      </c>
      <c r="E7" s="14">
        <f>2*E5+E6</f>
        <v>3681.2573625147252</v>
      </c>
      <c r="F7" t="s">
        <v>37</v>
      </c>
      <c r="H7" s="3" t="s">
        <v>104</v>
      </c>
      <c r="I7" s="53">
        <f>I6</f>
        <v>108</v>
      </c>
      <c r="J7" s="78">
        <f>J6</f>
        <v>3</v>
      </c>
      <c r="K7" s="1">
        <f t="shared" si="0"/>
        <v>324</v>
      </c>
      <c r="L7" s="134">
        <f t="shared" si="1"/>
        <v>3.2399999999999998E-2</v>
      </c>
    </row>
    <row r="8" spans="1:19" ht="18" thickBot="1">
      <c r="A8" t="s">
        <v>197</v>
      </c>
      <c r="B8" s="40">
        <f>B5*B4</f>
        <v>324</v>
      </c>
      <c r="C8" t="s">
        <v>27</v>
      </c>
      <c r="E8" s="14">
        <f>E5*E4</f>
        <v>11441.952017762305</v>
      </c>
      <c r="F8" t="s">
        <v>38</v>
      </c>
      <c r="H8" s="3" t="s">
        <v>196</v>
      </c>
      <c r="I8" s="71">
        <f>SUM(I5:I7)</f>
        <v>342</v>
      </c>
      <c r="K8" s="125">
        <f>SUM(K5:K7)</f>
        <v>1026</v>
      </c>
      <c r="L8" s="123">
        <f>SUM(L5:L7)</f>
        <v>0.1026</v>
      </c>
    </row>
    <row r="9" spans="1:19" ht="17.25">
      <c r="A9" t="s">
        <v>28</v>
      </c>
      <c r="B9" s="1">
        <f>B7/B8</f>
        <v>1.0555555555555556</v>
      </c>
      <c r="C9" t="s">
        <v>29</v>
      </c>
      <c r="E9" s="1">
        <f>E7/E8</f>
        <v>0.32173333333333326</v>
      </c>
      <c r="F9" t="s">
        <v>39</v>
      </c>
      <c r="K9" s="88">
        <f>K8/I8</f>
        <v>3</v>
      </c>
      <c r="L9" s="11" t="s">
        <v>31</v>
      </c>
      <c r="N9" s="15"/>
      <c r="O9" s="16"/>
      <c r="P9" s="16"/>
      <c r="Q9" s="16"/>
      <c r="R9" s="16"/>
      <c r="S9" s="17"/>
    </row>
    <row r="10" spans="1:19">
      <c r="A10" t="s">
        <v>16</v>
      </c>
      <c r="B10" s="7">
        <v>0.61</v>
      </c>
      <c r="N10" s="25"/>
      <c r="O10" s="26" t="s">
        <v>48</v>
      </c>
      <c r="P10" s="22"/>
      <c r="Q10" s="22"/>
      <c r="R10" s="22"/>
      <c r="S10" s="27"/>
    </row>
    <row r="11" spans="1:19" ht="17.25">
      <c r="A11" t="s">
        <v>17</v>
      </c>
      <c r="B11" s="6">
        <f>(2.5/B4)^0.3*B5/1000</f>
        <v>0.10225142794789999</v>
      </c>
      <c r="C11" t="s">
        <v>20</v>
      </c>
      <c r="E11" s="77" t="s">
        <v>238</v>
      </c>
      <c r="N11" s="25"/>
      <c r="O11" s="22" t="s">
        <v>35</v>
      </c>
      <c r="P11" s="22"/>
      <c r="Q11" s="22"/>
      <c r="R11" s="22"/>
      <c r="S11" s="27"/>
    </row>
    <row r="12" spans="1:19" ht="18" thickBot="1">
      <c r="A12" t="s">
        <v>30</v>
      </c>
      <c r="B12" s="33">
        <f>10000*B11/B7</f>
        <v>2.9898078347339174</v>
      </c>
      <c r="C12" s="11" t="s">
        <v>31</v>
      </c>
      <c r="D12" s="79" t="s">
        <v>239</v>
      </c>
      <c r="E12" s="75">
        <v>3</v>
      </c>
      <c r="F12" s="76" t="s">
        <v>237</v>
      </c>
      <c r="N12" s="25"/>
      <c r="O12" s="26" t="s">
        <v>45</v>
      </c>
      <c r="P12" s="26"/>
      <c r="Q12" s="26"/>
      <c r="R12" s="22"/>
      <c r="S12" s="27"/>
    </row>
    <row r="13" spans="1:19" ht="17.25">
      <c r="A13" t="s">
        <v>21</v>
      </c>
      <c r="B13" s="9">
        <v>1.2040999999999999</v>
      </c>
      <c r="C13" t="s">
        <v>22</v>
      </c>
      <c r="N13" s="25"/>
      <c r="O13" s="23">
        <v>1</v>
      </c>
      <c r="P13" s="16" t="s">
        <v>37</v>
      </c>
      <c r="Q13" s="120">
        <f>O13*Conversions!$C$29</f>
        <v>9.2903040000000006E-2</v>
      </c>
      <c r="R13" s="17" t="s">
        <v>20</v>
      </c>
      <c r="S13" s="27"/>
    </row>
    <row r="14" spans="1:19" ht="18" thickBot="1">
      <c r="A14" t="s">
        <v>23</v>
      </c>
      <c r="B14" s="6">
        <f>B11*SQRT(8/B13)*(50/4)^0.65</f>
        <v>1.3610516470059313</v>
      </c>
      <c r="C14" t="s">
        <v>24</v>
      </c>
      <c r="N14" s="25"/>
      <c r="O14" s="24">
        <v>300</v>
      </c>
      <c r="P14" s="19" t="s">
        <v>37</v>
      </c>
      <c r="Q14" s="31">
        <f>O14*Conversions!$C$29</f>
        <v>27.870912000000001</v>
      </c>
      <c r="R14" s="20" t="s">
        <v>20</v>
      </c>
      <c r="S14" s="27"/>
    </row>
    <row r="15" spans="1:19">
      <c r="N15" s="25"/>
      <c r="O15" s="28">
        <f>O13/O14</f>
        <v>3.3333333333333335E-3</v>
      </c>
      <c r="P15" s="22"/>
      <c r="Q15" s="28">
        <f>Q13/Q14</f>
        <v>3.3333333333333335E-3</v>
      </c>
      <c r="R15" s="22"/>
      <c r="S15" s="27"/>
    </row>
    <row r="16" spans="1:19">
      <c r="N16" s="25"/>
      <c r="R16" s="22"/>
      <c r="S16" s="27"/>
    </row>
    <row r="17" spans="1:19" ht="17.25">
      <c r="A17" t="s">
        <v>6</v>
      </c>
      <c r="B17">
        <v>1.5</v>
      </c>
      <c r="C17" t="s">
        <v>2</v>
      </c>
      <c r="N17" s="25"/>
      <c r="P17" s="30" t="s">
        <v>43</v>
      </c>
      <c r="Q17" s="30" t="s">
        <v>44</v>
      </c>
      <c r="R17" s="22"/>
      <c r="S17" s="27"/>
    </row>
    <row r="18" spans="1:19">
      <c r="A18" t="s">
        <v>14</v>
      </c>
      <c r="B18" s="12">
        <f>B17/(0.5*B3)</f>
        <v>0.33333333333333331</v>
      </c>
      <c r="N18" s="25"/>
      <c r="O18" s="22" t="s">
        <v>46</v>
      </c>
      <c r="P18" s="29">
        <v>9</v>
      </c>
      <c r="Q18" s="32">
        <f>P18*Conversions!$D$30/Conversions!$C$18</f>
        <v>190.5</v>
      </c>
      <c r="R18" s="22"/>
      <c r="S18" s="27"/>
    </row>
    <row r="19" spans="1:19">
      <c r="B19" s="1">
        <f>180*ASIN(B18)/PI()</f>
        <v>19.471220634490692</v>
      </c>
      <c r="C19" t="s">
        <v>13</v>
      </c>
      <c r="N19" s="25"/>
      <c r="O19" s="22" t="s">
        <v>47</v>
      </c>
      <c r="P19" s="29">
        <v>9</v>
      </c>
      <c r="Q19" s="32">
        <f>P19*Conversions!$D$30/Conversions!$C$18</f>
        <v>190.5</v>
      </c>
      <c r="R19" s="22"/>
      <c r="S19" s="27"/>
    </row>
    <row r="20" spans="1:19" ht="15.75" thickBot="1">
      <c r="B20" s="2" t="str">
        <f>_xlfn.CONCAT(B18*12,"/12")</f>
        <v>4/12</v>
      </c>
      <c r="C20" t="s">
        <v>15</v>
      </c>
      <c r="N20" s="18"/>
      <c r="O20" s="19"/>
      <c r="P20" s="19"/>
      <c r="Q20" s="19"/>
      <c r="R20" s="19"/>
      <c r="S20" s="20"/>
    </row>
    <row r="22" spans="1:19">
      <c r="A22" s="3" t="s">
        <v>7</v>
      </c>
    </row>
    <row r="23" spans="1:19">
      <c r="A23" t="s">
        <v>8</v>
      </c>
      <c r="B23">
        <f>1/100</f>
        <v>0.01</v>
      </c>
    </row>
    <row r="24" spans="1:19" ht="17.25">
      <c r="A24" t="s">
        <v>9</v>
      </c>
      <c r="B24" s="137">
        <f>B23*B2*B3</f>
        <v>1.08</v>
      </c>
      <c r="C24" t="s">
        <v>20</v>
      </c>
    </row>
    <row r="25" spans="1:19">
      <c r="A25" t="s">
        <v>10</v>
      </c>
      <c r="B25">
        <v>4</v>
      </c>
    </row>
    <row r="26" spans="1:19" ht="17.25">
      <c r="A26" t="s">
        <v>11</v>
      </c>
      <c r="B26">
        <f>B24/B25</f>
        <v>0.27</v>
      </c>
      <c r="C26" t="s">
        <v>20</v>
      </c>
    </row>
    <row r="27" spans="1:19">
      <c r="A27" t="s">
        <v>4</v>
      </c>
      <c r="B27" s="21">
        <v>0.6</v>
      </c>
      <c r="C27" t="s">
        <v>2</v>
      </c>
      <c r="Q27" s="22"/>
    </row>
    <row r="29" spans="1:19">
      <c r="A29" s="3" t="s">
        <v>32</v>
      </c>
      <c r="H29" s="12"/>
    </row>
    <row r="30" spans="1:19">
      <c r="A30" t="s">
        <v>66</v>
      </c>
      <c r="B30" s="7">
        <f>12*10</f>
        <v>120</v>
      </c>
    </row>
    <row r="31" spans="1:19" ht="17.25">
      <c r="A31" t="s">
        <v>34</v>
      </c>
      <c r="B31" s="137">
        <f>B30*O15</f>
        <v>0.4</v>
      </c>
      <c r="C31" t="s">
        <v>20</v>
      </c>
      <c r="E31" s="12">
        <f>B31*Conversions!$G$25</f>
        <v>4.3055641666838893</v>
      </c>
      <c r="F31" t="s">
        <v>37</v>
      </c>
    </row>
    <row r="32" spans="1:19" ht="17.25">
      <c r="B32" s="87">
        <f>B31*10000</f>
        <v>4000</v>
      </c>
      <c r="C32" t="s">
        <v>33</v>
      </c>
      <c r="E32" s="13">
        <f>B32*Conversions!$H$26</f>
        <v>620.00124000248002</v>
      </c>
      <c r="F32" t="s">
        <v>40</v>
      </c>
    </row>
    <row r="33" spans="1:6">
      <c r="A33" t="s">
        <v>41</v>
      </c>
      <c r="B33" s="21">
        <v>0.6</v>
      </c>
    </row>
    <row r="34" spans="1:6" ht="17.25">
      <c r="A34" t="s">
        <v>49</v>
      </c>
      <c r="B34" s="13">
        <f>B32*B33</f>
        <v>2400</v>
      </c>
      <c r="C34" t="s">
        <v>33</v>
      </c>
      <c r="E34" s="13">
        <f>E32*B33</f>
        <v>372.00074400148799</v>
      </c>
      <c r="F34" t="s">
        <v>40</v>
      </c>
    </row>
    <row r="35" spans="1:6" ht="17.25">
      <c r="A35" t="s">
        <v>50</v>
      </c>
      <c r="B35" s="13">
        <f>B34/2</f>
        <v>1200</v>
      </c>
      <c r="C35" t="s">
        <v>33</v>
      </c>
      <c r="E35" s="13">
        <f>E34/2</f>
        <v>186.00037200074399</v>
      </c>
      <c r="F35" t="s">
        <v>40</v>
      </c>
    </row>
    <row r="36" spans="1:6" ht="17.25">
      <c r="A36" t="s">
        <v>42</v>
      </c>
      <c r="B36" s="13">
        <f>B32*(1-B33)</f>
        <v>1600</v>
      </c>
      <c r="C36" t="s">
        <v>33</v>
      </c>
      <c r="E36" s="13">
        <f>E32*(1-B33)</f>
        <v>248.00049600099203</v>
      </c>
      <c r="F36" t="s">
        <v>40</v>
      </c>
    </row>
    <row r="37" spans="1:6">
      <c r="B37" s="10">
        <f>B36/B34</f>
        <v>0.66666666666666663</v>
      </c>
    </row>
    <row r="38" spans="1:6">
      <c r="B38" s="5"/>
    </row>
    <row r="39" spans="1:6">
      <c r="B39" s="14"/>
    </row>
  </sheetData>
  <mergeCells count="1">
    <mergeCell ref="K3:L3"/>
  </mergeCell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E9584-FD7F-45BA-8FF6-F64AA3630B69}">
  <dimension ref="A1:AC22"/>
  <sheetViews>
    <sheetView workbookViewId="0">
      <selection activeCell="AC3" sqref="AC3"/>
    </sheetView>
  </sheetViews>
  <sheetFormatPr defaultRowHeight="15"/>
  <cols>
    <col min="1" max="1" width="4.7109375" bestFit="1" customWidth="1"/>
    <col min="2" max="2" width="3" bestFit="1" customWidth="1"/>
    <col min="3" max="3" width="6.7109375" bestFit="1" customWidth="1"/>
    <col min="4" max="6" width="5.140625" bestFit="1" customWidth="1"/>
    <col min="7" max="7" width="2.5703125" bestFit="1" customWidth="1"/>
    <col min="8" max="8" width="5.42578125" bestFit="1" customWidth="1"/>
    <col min="9" max="9" width="5" bestFit="1" customWidth="1"/>
    <col min="10" max="10" width="7" bestFit="1" customWidth="1"/>
    <col min="11" max="11" width="3.140625" bestFit="1" customWidth="1"/>
    <col min="12" max="12" width="11.85546875" bestFit="1" customWidth="1"/>
    <col min="13" max="13" width="3.140625" bestFit="1" customWidth="1"/>
    <col min="14" max="14" width="4.5703125" bestFit="1" customWidth="1"/>
    <col min="15" max="15" width="3.85546875" bestFit="1" customWidth="1"/>
    <col min="16" max="16" width="4.7109375" bestFit="1" customWidth="1"/>
    <col min="17" max="17" width="9.28515625" bestFit="1" customWidth="1"/>
    <col min="18" max="18" width="3.7109375" bestFit="1" customWidth="1"/>
    <col min="19" max="19" width="9.28515625" bestFit="1" customWidth="1"/>
    <col min="20" max="20" width="7.140625" bestFit="1" customWidth="1"/>
    <col min="21" max="21" width="7" bestFit="1" customWidth="1"/>
    <col min="22" max="22" width="6.28515625" bestFit="1" customWidth="1"/>
    <col min="23" max="23" width="7" customWidth="1"/>
    <col min="24" max="24" width="3.7109375" customWidth="1"/>
    <col min="25" max="25" width="8.5703125" bestFit="1" customWidth="1"/>
    <col min="27" max="27" width="3.7109375" customWidth="1"/>
  </cols>
  <sheetData>
    <row r="1" spans="1:29">
      <c r="AB1" s="34" t="s">
        <v>158</v>
      </c>
      <c r="AC1" s="41" t="s">
        <v>53</v>
      </c>
    </row>
    <row r="2" spans="1:29">
      <c r="AB2" s="45" t="s">
        <v>173</v>
      </c>
      <c r="AC2" s="45" t="s">
        <v>12</v>
      </c>
    </row>
    <row r="3" spans="1:29">
      <c r="A3">
        <v>7</v>
      </c>
      <c r="B3" t="s">
        <v>123</v>
      </c>
      <c r="C3" t="s">
        <v>150</v>
      </c>
      <c r="AB3" s="55">
        <f>SUM(AB5:AB11)</f>
        <v>324</v>
      </c>
      <c r="AC3" s="52">
        <f>SUM(AC5:AC11)</f>
        <v>108</v>
      </c>
    </row>
    <row r="4" spans="1:29">
      <c r="A4" t="s">
        <v>123</v>
      </c>
      <c r="B4" s="34" t="s">
        <v>151</v>
      </c>
      <c r="C4" s="34" t="s">
        <v>152</v>
      </c>
      <c r="D4" s="34" t="s">
        <v>153</v>
      </c>
      <c r="E4" s="34" t="s">
        <v>154</v>
      </c>
      <c r="F4" s="34" t="s">
        <v>155</v>
      </c>
      <c r="G4" t="s">
        <v>156</v>
      </c>
      <c r="H4" t="s">
        <v>157</v>
      </c>
      <c r="I4" t="s">
        <v>158</v>
      </c>
      <c r="J4" t="s">
        <v>159</v>
      </c>
      <c r="K4" t="s">
        <v>160</v>
      </c>
      <c r="L4" t="s">
        <v>133</v>
      </c>
      <c r="M4" t="s">
        <v>161</v>
      </c>
      <c r="N4" t="s">
        <v>162</v>
      </c>
      <c r="O4" t="s">
        <v>163</v>
      </c>
      <c r="P4" t="s">
        <v>164</v>
      </c>
      <c r="Q4" t="s">
        <v>170</v>
      </c>
      <c r="R4" t="s">
        <v>167</v>
      </c>
      <c r="S4" t="s">
        <v>171</v>
      </c>
      <c r="T4" t="s">
        <v>172</v>
      </c>
      <c r="V4" t="s">
        <v>96</v>
      </c>
      <c r="W4" t="s">
        <v>175</v>
      </c>
      <c r="Y4" t="s">
        <v>177</v>
      </c>
      <c r="Z4" t="s">
        <v>176</v>
      </c>
    </row>
    <row r="5" spans="1:29">
      <c r="B5">
        <v>1</v>
      </c>
      <c r="C5" s="35">
        <v>19</v>
      </c>
      <c r="D5" s="1">
        <v>0</v>
      </c>
      <c r="E5" s="1">
        <v>0</v>
      </c>
      <c r="F5" s="12">
        <v>0</v>
      </c>
      <c r="G5">
        <v>3</v>
      </c>
      <c r="H5">
        <v>0</v>
      </c>
      <c r="I5">
        <v>90</v>
      </c>
      <c r="J5">
        <v>293.14999999999998</v>
      </c>
      <c r="K5">
        <v>0</v>
      </c>
      <c r="L5" t="s">
        <v>63</v>
      </c>
      <c r="M5">
        <v>-1</v>
      </c>
      <c r="N5">
        <v>0</v>
      </c>
      <c r="O5">
        <v>2</v>
      </c>
      <c r="P5">
        <v>0</v>
      </c>
      <c r="Q5">
        <v>0</v>
      </c>
      <c r="R5">
        <v>0</v>
      </c>
      <c r="S5">
        <v>0</v>
      </c>
      <c r="T5">
        <v>0</v>
      </c>
      <c r="V5">
        <f>IF(_xlfn.BITAND($C5,16)&gt;0,0,1)</f>
        <v>0</v>
      </c>
      <c r="W5" s="1">
        <f t="shared" ref="W5:W11" si="0">VLOOKUP(G5,HlevTable,2,)</f>
        <v>1.5</v>
      </c>
      <c r="Y5" s="21">
        <v>1</v>
      </c>
      <c r="Z5" s="36">
        <v>0.6</v>
      </c>
      <c r="AB5" s="1">
        <f>IF(V5&gt;0,$I5,0)</f>
        <v>0</v>
      </c>
      <c r="AC5" s="12">
        <f>V5*AB5/W5</f>
        <v>0</v>
      </c>
    </row>
    <row r="6" spans="1:29">
      <c r="B6">
        <v>2</v>
      </c>
      <c r="C6" s="35">
        <v>3</v>
      </c>
      <c r="D6" s="1">
        <v>0</v>
      </c>
      <c r="E6" s="1">
        <v>0</v>
      </c>
      <c r="F6" s="12">
        <v>0</v>
      </c>
      <c r="G6">
        <v>2</v>
      </c>
      <c r="H6">
        <v>0</v>
      </c>
      <c r="I6">
        <v>27</v>
      </c>
      <c r="J6">
        <v>293.14999999999998</v>
      </c>
      <c r="K6">
        <v>0</v>
      </c>
      <c r="L6" t="s">
        <v>61</v>
      </c>
      <c r="M6">
        <v>-1</v>
      </c>
      <c r="N6">
        <v>0</v>
      </c>
      <c r="O6">
        <v>2</v>
      </c>
      <c r="P6">
        <v>0</v>
      </c>
      <c r="Q6">
        <v>0</v>
      </c>
      <c r="R6">
        <v>0</v>
      </c>
      <c r="S6">
        <v>0</v>
      </c>
      <c r="T6">
        <v>0</v>
      </c>
      <c r="V6">
        <f t="shared" ref="V6:V11" si="1">IF(_xlfn.BITAND($C6,16)&gt;0,0,1)</f>
        <v>1</v>
      </c>
      <c r="W6" s="1">
        <f t="shared" si="0"/>
        <v>3</v>
      </c>
      <c r="Y6" s="21">
        <v>2</v>
      </c>
      <c r="Z6" s="36">
        <v>3</v>
      </c>
      <c r="AB6" s="1">
        <f>IF(V6&gt;0,$I6,0)</f>
        <v>27</v>
      </c>
      <c r="AC6" s="12">
        <f t="shared" ref="AC6:AC11" si="2">V6*AB6/W6</f>
        <v>9</v>
      </c>
    </row>
    <row r="7" spans="1:29">
      <c r="B7">
        <v>3</v>
      </c>
      <c r="C7" s="35">
        <v>3</v>
      </c>
      <c r="D7" s="1">
        <v>0</v>
      </c>
      <c r="E7" s="1">
        <v>0</v>
      </c>
      <c r="F7" s="12">
        <v>0</v>
      </c>
      <c r="G7">
        <v>2</v>
      </c>
      <c r="H7">
        <v>0</v>
      </c>
      <c r="I7">
        <v>48</v>
      </c>
      <c r="J7">
        <v>293.14999999999998</v>
      </c>
      <c r="K7">
        <v>0</v>
      </c>
      <c r="L7" t="s">
        <v>60</v>
      </c>
      <c r="M7">
        <v>-1</v>
      </c>
      <c r="N7">
        <v>0</v>
      </c>
      <c r="O7">
        <v>2</v>
      </c>
      <c r="P7">
        <v>0</v>
      </c>
      <c r="Q7">
        <v>0</v>
      </c>
      <c r="R7">
        <v>0</v>
      </c>
      <c r="S7">
        <v>0</v>
      </c>
      <c r="T7">
        <v>0</v>
      </c>
      <c r="V7">
        <f t="shared" si="1"/>
        <v>1</v>
      </c>
      <c r="W7" s="1">
        <f t="shared" si="0"/>
        <v>3</v>
      </c>
      <c r="Y7" s="21">
        <v>3</v>
      </c>
      <c r="Z7" s="36">
        <v>1.5</v>
      </c>
      <c r="AB7" s="1">
        <f t="shared" ref="AB7:AB11" si="3">IF(V7&gt;0,$I7,0)</f>
        <v>48</v>
      </c>
      <c r="AC7" s="12">
        <f t="shared" si="2"/>
        <v>16</v>
      </c>
    </row>
    <row r="8" spans="1:29">
      <c r="B8">
        <v>4</v>
      </c>
      <c r="C8" s="35">
        <v>3</v>
      </c>
      <c r="D8" s="1">
        <v>0</v>
      </c>
      <c r="E8" s="1">
        <v>0</v>
      </c>
      <c r="F8" s="12">
        <v>0</v>
      </c>
      <c r="G8">
        <v>2</v>
      </c>
      <c r="H8">
        <v>0</v>
      </c>
      <c r="I8">
        <v>60</v>
      </c>
      <c r="J8">
        <v>293.14999999999998</v>
      </c>
      <c r="K8">
        <v>0</v>
      </c>
      <c r="L8" t="s">
        <v>59</v>
      </c>
      <c r="M8">
        <v>-1</v>
      </c>
      <c r="N8">
        <v>0</v>
      </c>
      <c r="O8">
        <v>2</v>
      </c>
      <c r="P8">
        <v>0</v>
      </c>
      <c r="Q8">
        <v>0</v>
      </c>
      <c r="R8">
        <v>0</v>
      </c>
      <c r="S8">
        <v>0</v>
      </c>
      <c r="T8">
        <v>0</v>
      </c>
      <c r="V8">
        <f t="shared" si="1"/>
        <v>1</v>
      </c>
      <c r="W8" s="1">
        <f t="shared" si="0"/>
        <v>3</v>
      </c>
      <c r="AB8" s="1">
        <f t="shared" si="3"/>
        <v>60</v>
      </c>
      <c r="AC8" s="12">
        <f t="shared" si="2"/>
        <v>20</v>
      </c>
    </row>
    <row r="9" spans="1:29">
      <c r="B9">
        <v>5</v>
      </c>
      <c r="C9" s="35">
        <v>3</v>
      </c>
      <c r="D9" s="1">
        <v>0</v>
      </c>
      <c r="E9" s="1">
        <v>0</v>
      </c>
      <c r="F9" s="12">
        <v>0</v>
      </c>
      <c r="G9">
        <v>2</v>
      </c>
      <c r="H9">
        <v>0</v>
      </c>
      <c r="I9">
        <v>135</v>
      </c>
      <c r="J9">
        <v>293.14999999999998</v>
      </c>
      <c r="K9">
        <v>0</v>
      </c>
      <c r="L9" t="s">
        <v>58</v>
      </c>
      <c r="M9">
        <v>-1</v>
      </c>
      <c r="N9">
        <v>0</v>
      </c>
      <c r="O9">
        <v>2</v>
      </c>
      <c r="P9">
        <v>0</v>
      </c>
      <c r="Q9">
        <v>0</v>
      </c>
      <c r="R9">
        <v>0</v>
      </c>
      <c r="S9">
        <v>0</v>
      </c>
      <c r="T9">
        <v>0</v>
      </c>
      <c r="V9">
        <f t="shared" si="1"/>
        <v>1</v>
      </c>
      <c r="W9" s="1">
        <f t="shared" si="0"/>
        <v>3</v>
      </c>
      <c r="AB9" s="1">
        <f t="shared" si="3"/>
        <v>135</v>
      </c>
      <c r="AC9" s="12">
        <f t="shared" si="2"/>
        <v>45</v>
      </c>
    </row>
    <row r="10" spans="1:29">
      <c r="B10">
        <v>6</v>
      </c>
      <c r="C10" s="35">
        <v>3</v>
      </c>
      <c r="D10" s="1">
        <v>0</v>
      </c>
      <c r="E10" s="1">
        <v>0</v>
      </c>
      <c r="F10" s="12">
        <v>0</v>
      </c>
      <c r="G10">
        <v>2</v>
      </c>
      <c r="H10">
        <v>0</v>
      </c>
      <c r="I10">
        <v>54</v>
      </c>
      <c r="J10">
        <v>293.14999999999998</v>
      </c>
      <c r="K10">
        <v>0</v>
      </c>
      <c r="L10" t="s">
        <v>62</v>
      </c>
      <c r="M10">
        <v>-1</v>
      </c>
      <c r="N10">
        <v>0</v>
      </c>
      <c r="O10">
        <v>2</v>
      </c>
      <c r="P10">
        <v>0</v>
      </c>
      <c r="Q10">
        <v>0</v>
      </c>
      <c r="R10">
        <v>0</v>
      </c>
      <c r="S10">
        <v>0</v>
      </c>
      <c r="T10">
        <v>0</v>
      </c>
      <c r="V10">
        <f t="shared" si="1"/>
        <v>1</v>
      </c>
      <c r="W10" s="1">
        <f t="shared" si="0"/>
        <v>3</v>
      </c>
      <c r="AB10" s="1">
        <f t="shared" si="3"/>
        <v>54</v>
      </c>
      <c r="AC10" s="12">
        <f t="shared" si="2"/>
        <v>18</v>
      </c>
    </row>
    <row r="11" spans="1:29">
      <c r="B11">
        <v>7</v>
      </c>
      <c r="C11" s="35">
        <v>19</v>
      </c>
      <c r="D11" s="1">
        <v>0</v>
      </c>
      <c r="E11" s="1">
        <v>0</v>
      </c>
      <c r="F11" s="12">
        <v>0</v>
      </c>
      <c r="G11">
        <v>1</v>
      </c>
      <c r="H11">
        <v>0</v>
      </c>
      <c r="I11">
        <v>64.8</v>
      </c>
      <c r="J11">
        <v>293.14999999999998</v>
      </c>
      <c r="K11">
        <v>0</v>
      </c>
      <c r="L11" t="s">
        <v>169</v>
      </c>
      <c r="M11">
        <v>-1</v>
      </c>
      <c r="N11">
        <v>0</v>
      </c>
      <c r="O11">
        <v>2</v>
      </c>
      <c r="P11">
        <v>0</v>
      </c>
      <c r="Q11">
        <v>0</v>
      </c>
      <c r="R11">
        <v>0</v>
      </c>
      <c r="S11">
        <v>0</v>
      </c>
      <c r="T11">
        <v>0</v>
      </c>
      <c r="V11">
        <f t="shared" si="1"/>
        <v>0</v>
      </c>
      <c r="W11" s="1">
        <f t="shared" si="0"/>
        <v>0.6</v>
      </c>
      <c r="AB11" s="1">
        <f t="shared" si="3"/>
        <v>0</v>
      </c>
      <c r="AC11" s="12">
        <f t="shared" si="2"/>
        <v>0</v>
      </c>
    </row>
    <row r="12" spans="1:29">
      <c r="A12">
        <v>-999</v>
      </c>
      <c r="AB12" s="1"/>
      <c r="AC12" s="12"/>
    </row>
    <row r="13" spans="1:29">
      <c r="AB13" s="1"/>
      <c r="AC13" s="12"/>
    </row>
    <row r="14" spans="1:29">
      <c r="AB14" s="1"/>
      <c r="AC14" s="12"/>
    </row>
    <row r="15" spans="1:29">
      <c r="Y15" s="38"/>
      <c r="Z15" s="38"/>
      <c r="AA15" s="46"/>
      <c r="AC15" s="12"/>
    </row>
    <row r="16" spans="1:29">
      <c r="Y16" s="38"/>
      <c r="Z16" s="38"/>
      <c r="AA16" s="46"/>
      <c r="AC16" s="12"/>
    </row>
    <row r="17" spans="25:29">
      <c r="Y17" s="38"/>
      <c r="Z17" s="38"/>
      <c r="AA17" s="46"/>
      <c r="AB17" s="1"/>
      <c r="AC17" s="12"/>
    </row>
    <row r="18" spans="25:29">
      <c r="AB18" s="1"/>
      <c r="AC18" s="12"/>
    </row>
    <row r="19" spans="25:29">
      <c r="AB19" s="1"/>
      <c r="AC19" s="12"/>
    </row>
    <row r="20" spans="25:29">
      <c r="AB20" s="1"/>
      <c r="AC20" s="12"/>
    </row>
    <row r="21" spans="25:29">
      <c r="AB21" s="1"/>
      <c r="AC21" s="12"/>
    </row>
    <row r="22" spans="25:29">
      <c r="AB22" s="1"/>
      <c r="AC22" s="1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9DEC3-140B-460C-9828-0A283D7C6F08}">
  <dimension ref="A1:R34"/>
  <sheetViews>
    <sheetView workbookViewId="0">
      <selection activeCell="R3" sqref="R3"/>
    </sheetView>
  </sheetViews>
  <sheetFormatPr defaultRowHeight="15"/>
  <cols>
    <col min="1" max="1" width="3.28515625" customWidth="1"/>
    <col min="2" max="2" width="3.5703125" bestFit="1" customWidth="1"/>
    <col min="4" max="4" width="10.140625" bestFit="1" customWidth="1"/>
    <col min="5" max="6" width="9.28515625" bestFit="1" customWidth="1"/>
    <col min="7" max="7" width="5" bestFit="1" customWidth="1"/>
    <col min="8" max="8" width="8.28515625" bestFit="1" customWidth="1"/>
    <col min="9" max="9" width="4.85546875" bestFit="1" customWidth="1"/>
    <col min="10" max="11" width="5.85546875" bestFit="1" customWidth="1"/>
    <col min="12" max="12" width="9.28515625" bestFit="1" customWidth="1"/>
    <col min="13" max="16" width="4.42578125" bestFit="1" customWidth="1"/>
    <col min="18" max="18" width="49.85546875" bestFit="1" customWidth="1"/>
  </cols>
  <sheetData>
    <row r="1" spans="1:18">
      <c r="A1" t="s">
        <v>129</v>
      </c>
      <c r="R1" s="3" t="s">
        <v>109</v>
      </c>
    </row>
    <row r="3" spans="1:18">
      <c r="A3" s="34" t="s">
        <v>130</v>
      </c>
      <c r="B3" s="34" t="s">
        <v>131</v>
      </c>
      <c r="C3" s="34" t="s">
        <v>132</v>
      </c>
      <c r="D3" s="34" t="s">
        <v>133</v>
      </c>
      <c r="E3" s="34" t="s">
        <v>134</v>
      </c>
      <c r="F3" s="34" t="s">
        <v>135</v>
      </c>
      <c r="G3" s="34" t="s">
        <v>136</v>
      </c>
      <c r="H3" s="34" t="s">
        <v>137</v>
      </c>
      <c r="I3" s="34" t="s">
        <v>138</v>
      </c>
      <c r="J3" s="34" t="s">
        <v>139</v>
      </c>
      <c r="K3" s="34" t="s">
        <v>140</v>
      </c>
      <c r="L3" s="34" t="s">
        <v>141</v>
      </c>
      <c r="M3" s="34" t="s">
        <v>142</v>
      </c>
      <c r="N3" s="34" t="s">
        <v>143</v>
      </c>
      <c r="O3" s="34" t="s">
        <v>144</v>
      </c>
      <c r="P3" s="34" t="s">
        <v>145</v>
      </c>
      <c r="R3" t="s">
        <v>110</v>
      </c>
    </row>
    <row r="4" spans="1:18">
      <c r="A4" s="82">
        <v>3</v>
      </c>
      <c r="B4">
        <v>23</v>
      </c>
      <c r="C4" s="43" t="s">
        <v>125</v>
      </c>
      <c r="D4" s="82" t="s">
        <v>126</v>
      </c>
      <c r="E4" s="42">
        <v>4.1612000000000002E-8</v>
      </c>
      <c r="F4" s="44">
        <v>3.4461000000000002E-4</v>
      </c>
      <c r="G4">
        <v>0.65</v>
      </c>
      <c r="H4">
        <v>1</v>
      </c>
      <c r="I4">
        <v>4</v>
      </c>
      <c r="J4">
        <v>0</v>
      </c>
      <c r="K4">
        <v>0</v>
      </c>
      <c r="L4" s="89">
        <v>2.9999999999999997E-4</v>
      </c>
      <c r="M4">
        <v>2</v>
      </c>
      <c r="N4">
        <v>2</v>
      </c>
      <c r="O4">
        <v>2</v>
      </c>
      <c r="P4">
        <v>0</v>
      </c>
      <c r="R4" s="84" t="s">
        <v>111</v>
      </c>
    </row>
    <row r="5" spans="1:18">
      <c r="A5" s="82">
        <v>4</v>
      </c>
      <c r="B5">
        <v>23</v>
      </c>
      <c r="C5" s="43" t="s">
        <v>125</v>
      </c>
      <c r="D5" s="82" t="s">
        <v>127</v>
      </c>
      <c r="E5" s="42">
        <v>4.1612000000000002E-8</v>
      </c>
      <c r="F5" s="44">
        <v>3.4461000000000002E-4</v>
      </c>
      <c r="G5">
        <v>0.65</v>
      </c>
      <c r="H5">
        <v>1</v>
      </c>
      <c r="I5">
        <v>4</v>
      </c>
      <c r="J5">
        <v>0</v>
      </c>
      <c r="K5">
        <v>0</v>
      </c>
      <c r="L5" s="89">
        <v>2.9999999999999997E-4</v>
      </c>
      <c r="M5">
        <v>2</v>
      </c>
      <c r="N5">
        <v>2</v>
      </c>
      <c r="O5">
        <v>2</v>
      </c>
      <c r="P5">
        <v>0</v>
      </c>
      <c r="R5" s="84" t="s">
        <v>112</v>
      </c>
    </row>
    <row r="6" spans="1:18">
      <c r="A6" s="82">
        <v>5</v>
      </c>
      <c r="B6">
        <v>23</v>
      </c>
      <c r="C6" s="43" t="s">
        <v>125</v>
      </c>
      <c r="D6" s="82" t="s">
        <v>128</v>
      </c>
      <c r="E6" s="42">
        <v>4.1612000000000002E-8</v>
      </c>
      <c r="F6" s="44">
        <v>3.4461000000000002E-4</v>
      </c>
      <c r="G6">
        <v>0.65</v>
      </c>
      <c r="H6">
        <v>1</v>
      </c>
      <c r="I6">
        <v>4</v>
      </c>
      <c r="J6">
        <v>0</v>
      </c>
      <c r="K6">
        <v>0</v>
      </c>
      <c r="L6" s="89">
        <v>2.9999999999999997E-4</v>
      </c>
      <c r="M6">
        <v>2</v>
      </c>
      <c r="N6">
        <v>2</v>
      </c>
      <c r="O6">
        <v>2</v>
      </c>
      <c r="P6">
        <v>0</v>
      </c>
      <c r="R6" s="84" t="s">
        <v>146</v>
      </c>
    </row>
    <row r="7" spans="1:18">
      <c r="A7" s="41" t="s">
        <v>130</v>
      </c>
      <c r="B7" s="41" t="s">
        <v>131</v>
      </c>
      <c r="C7" s="41" t="s">
        <v>132</v>
      </c>
      <c r="D7" s="41" t="s">
        <v>133</v>
      </c>
      <c r="E7" s="41" t="s">
        <v>134</v>
      </c>
      <c r="F7" s="41" t="s">
        <v>135</v>
      </c>
      <c r="G7" s="41" t="s">
        <v>136</v>
      </c>
      <c r="H7" s="41" t="s">
        <v>243</v>
      </c>
      <c r="I7" s="41" t="s">
        <v>244</v>
      </c>
      <c r="J7" s="41" t="s">
        <v>137</v>
      </c>
      <c r="K7" s="41" t="s">
        <v>245</v>
      </c>
      <c r="L7" s="41" t="s">
        <v>246</v>
      </c>
      <c r="M7" s="41" t="s">
        <v>247</v>
      </c>
      <c r="N7" s="41"/>
      <c r="O7" s="41"/>
      <c r="P7" s="41"/>
      <c r="R7" s="84" t="s">
        <v>113</v>
      </c>
    </row>
    <row r="8" spans="1:18">
      <c r="A8" s="84">
        <v>1</v>
      </c>
      <c r="B8">
        <v>23</v>
      </c>
      <c r="C8" t="s">
        <v>240</v>
      </c>
      <c r="D8" t="s">
        <v>241</v>
      </c>
      <c r="E8" s="85">
        <v>2.70812E-8</v>
      </c>
      <c r="F8" s="42">
        <v>8.4852900000000002E-5</v>
      </c>
      <c r="G8">
        <v>0.5</v>
      </c>
      <c r="H8" s="86">
        <v>1E-4</v>
      </c>
      <c r="I8">
        <v>1.12838E-2</v>
      </c>
      <c r="J8">
        <v>0.6</v>
      </c>
      <c r="K8">
        <v>30</v>
      </c>
      <c r="L8">
        <v>2</v>
      </c>
      <c r="M8">
        <v>2</v>
      </c>
      <c r="R8" s="84" t="s">
        <v>114</v>
      </c>
    </row>
    <row r="9" spans="1:18">
      <c r="A9" s="84">
        <v>2</v>
      </c>
      <c r="B9">
        <v>23</v>
      </c>
      <c r="C9" t="s">
        <v>240</v>
      </c>
      <c r="D9" t="s">
        <v>242</v>
      </c>
      <c r="E9" s="85">
        <v>2.7081100000000001E-5</v>
      </c>
      <c r="F9">
        <v>8.4852799999999996E-3</v>
      </c>
      <c r="G9">
        <v>0.5</v>
      </c>
      <c r="H9" s="86">
        <v>0.01</v>
      </c>
      <c r="I9">
        <v>0.11283799999999999</v>
      </c>
      <c r="J9">
        <v>0.6</v>
      </c>
      <c r="K9">
        <v>30</v>
      </c>
      <c r="L9">
        <v>0</v>
      </c>
      <c r="M9">
        <v>0</v>
      </c>
      <c r="R9" s="84" t="s">
        <v>147</v>
      </c>
    </row>
    <row r="10" spans="1:18">
      <c r="R10" s="83" t="s">
        <v>115</v>
      </c>
    </row>
    <row r="11" spans="1:18">
      <c r="R11" s="83" t="s">
        <v>116</v>
      </c>
    </row>
    <row r="12" spans="1:18">
      <c r="R12" s="83" t="s">
        <v>148</v>
      </c>
    </row>
    <row r="13" spans="1:18">
      <c r="R13" s="82" t="s">
        <v>117</v>
      </c>
    </row>
    <row r="14" spans="1:18">
      <c r="R14" s="82" t="s">
        <v>118</v>
      </c>
    </row>
    <row r="15" spans="1:18">
      <c r="R15" s="82" t="s">
        <v>148</v>
      </c>
    </row>
    <row r="16" spans="1:18">
      <c r="R16" s="83" t="s">
        <v>119</v>
      </c>
    </row>
    <row r="17" spans="18:18">
      <c r="R17" s="83" t="s">
        <v>120</v>
      </c>
    </row>
    <row r="18" spans="18:18">
      <c r="R18" s="83" t="s">
        <v>148</v>
      </c>
    </row>
    <row r="19" spans="18:18">
      <c r="R19" t="s">
        <v>121</v>
      </c>
    </row>
    <row r="20" spans="18:18">
      <c r="R20" t="s">
        <v>122</v>
      </c>
    </row>
    <row r="21" spans="18:18">
      <c r="R21" t="s">
        <v>149</v>
      </c>
    </row>
    <row r="22" spans="18:18">
      <c r="R22">
        <v>-999</v>
      </c>
    </row>
    <row r="26" spans="18:18">
      <c r="R26" s="3"/>
    </row>
    <row r="27" spans="18:18">
      <c r="R27" s="3"/>
    </row>
    <row r="28" spans="18:18">
      <c r="R28" s="3"/>
    </row>
    <row r="29" spans="18:18">
      <c r="R29" s="3"/>
    </row>
    <row r="30" spans="18:18">
      <c r="R30" s="3"/>
    </row>
    <row r="31" spans="18:18">
      <c r="R31" s="3"/>
    </row>
    <row r="32" spans="18:18">
      <c r="R32" s="3"/>
    </row>
    <row r="33" spans="18:18">
      <c r="R33" s="3"/>
    </row>
    <row r="34" spans="18:18">
      <c r="R34" s="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C869-7304-4D71-BF31-90BC30393908}">
  <dimension ref="A1:AL41"/>
  <sheetViews>
    <sheetView workbookViewId="0">
      <selection activeCell="AL3" sqref="AL3"/>
    </sheetView>
  </sheetViews>
  <sheetFormatPr defaultRowHeight="15"/>
  <cols>
    <col min="1" max="1" width="4.7109375" bestFit="1" customWidth="1"/>
    <col min="2" max="2" width="3.140625" bestFit="1" customWidth="1"/>
    <col min="3" max="3" width="5" bestFit="1" customWidth="1"/>
    <col min="4" max="4" width="6.42578125" bestFit="1" customWidth="1"/>
    <col min="5" max="5" width="3.7109375" bestFit="1" customWidth="1"/>
    <col min="6" max="6" width="3.140625" bestFit="1" customWidth="1"/>
    <col min="7" max="7" width="2.7109375" bestFit="1" customWidth="1"/>
    <col min="8" max="8" width="3.5703125" bestFit="1" customWidth="1"/>
    <col min="9" max="9" width="3" bestFit="1" customWidth="1"/>
    <col min="10" max="11" width="2.85546875" bestFit="1" customWidth="1"/>
    <col min="12" max="12" width="2.5703125" bestFit="1" customWidth="1"/>
    <col min="13" max="13" width="2.140625" bestFit="1" customWidth="1"/>
    <col min="14" max="14" width="2" bestFit="1" customWidth="1"/>
    <col min="15" max="15" width="5.42578125" bestFit="1" customWidth="1"/>
    <col min="16" max="16" width="5.140625" bestFit="1" customWidth="1"/>
    <col min="17" max="17" width="6.42578125" bestFit="1" customWidth="1"/>
    <col min="18" max="18" width="7.7109375" bestFit="1" customWidth="1"/>
    <col min="19" max="19" width="6.140625" bestFit="1" customWidth="1"/>
    <col min="20" max="20" width="5" bestFit="1" customWidth="1"/>
    <col min="21" max="21" width="5.85546875" bestFit="1" customWidth="1"/>
    <col min="22" max="22" width="5.5703125" bestFit="1" customWidth="1"/>
    <col min="23" max="23" width="3.5703125" bestFit="1" customWidth="1"/>
    <col min="24" max="24" width="3.42578125" bestFit="1" customWidth="1"/>
    <col min="25" max="25" width="4.5703125" bestFit="1" customWidth="1"/>
    <col min="26" max="26" width="4.7109375" bestFit="1" customWidth="1"/>
    <col min="27" max="27" width="5.7109375" bestFit="1" customWidth="1"/>
    <col min="28" max="28" width="7" bestFit="1" customWidth="1"/>
    <col min="29" max="29" width="3.7109375" bestFit="1" customWidth="1"/>
    <col min="30" max="30" width="4.7109375" bestFit="1" customWidth="1"/>
    <col min="31" max="31" width="8.28515625" bestFit="1" customWidth="1"/>
    <col min="34" max="34" width="9.7109375" bestFit="1" customWidth="1"/>
    <col min="35" max="35" width="11.42578125" bestFit="1" customWidth="1"/>
    <col min="36" max="36" width="9.42578125" bestFit="1" customWidth="1"/>
    <col min="37" max="37" width="10.28515625" bestFit="1" customWidth="1"/>
    <col min="38" max="39" width="11.42578125" bestFit="1" customWidth="1"/>
  </cols>
  <sheetData>
    <row r="1" spans="1:38">
      <c r="AG1" s="45" t="s">
        <v>71</v>
      </c>
      <c r="AH1" s="49" t="s">
        <v>19</v>
      </c>
      <c r="AJ1" s="49" t="s">
        <v>248</v>
      </c>
      <c r="AK1" s="49" t="s">
        <v>249</v>
      </c>
      <c r="AL1" s="49" t="s">
        <v>196</v>
      </c>
    </row>
    <row r="2" spans="1:38">
      <c r="AG2" s="49" t="s">
        <v>12</v>
      </c>
      <c r="AH2" s="49" t="s">
        <v>12</v>
      </c>
      <c r="AJ2" s="49" t="s">
        <v>12</v>
      </c>
      <c r="AK2" s="49" t="s">
        <v>12</v>
      </c>
      <c r="AL2" s="49" t="s">
        <v>12</v>
      </c>
    </row>
    <row r="3" spans="1:38">
      <c r="AF3" t="s">
        <v>250</v>
      </c>
      <c r="AG3" s="121">
        <f>AG5*AG4</f>
        <v>3.7799999999999993E-2</v>
      </c>
      <c r="AH3" s="122">
        <f>AH5*AH4</f>
        <v>3.2399999999999998E-2</v>
      </c>
      <c r="AI3" s="122">
        <f>AI5*AI4</f>
        <v>3.2399999999999998E-2</v>
      </c>
      <c r="AJ3" s="137">
        <f>AJ5*AJ4</f>
        <v>0.4</v>
      </c>
      <c r="AK3" s="137">
        <f>AK5*AK4</f>
        <v>1.08</v>
      </c>
      <c r="AL3" s="123">
        <f>SUM(AG3:AI3)</f>
        <v>0.10259999999999998</v>
      </c>
    </row>
    <row r="4" spans="1:38">
      <c r="AF4" t="s">
        <v>251</v>
      </c>
      <c r="AG4" s="124">
        <f>'PRJ-AFEs'!L6</f>
        <v>2.9999999999999997E-4</v>
      </c>
      <c r="AH4" s="124">
        <f>'PRJ-AFEs'!L5</f>
        <v>2.9999999999999997E-4</v>
      </c>
      <c r="AI4" s="124">
        <f>'PRJ-AFEs'!L5</f>
        <v>2.9999999999999997E-4</v>
      </c>
      <c r="AJ4" s="136">
        <f>'PRJ-AFEs'!H8</f>
        <v>1E-4</v>
      </c>
      <c r="AK4" s="136">
        <f>'PRJ-AFEs'!H9</f>
        <v>0.01</v>
      </c>
    </row>
    <row r="5" spans="1:38">
      <c r="AF5" t="s">
        <v>252</v>
      </c>
      <c r="AG5" s="51">
        <f>SUM(AG8:AG40)</f>
        <v>126</v>
      </c>
      <c r="AH5" s="52">
        <f>SUM(AH8:AH40)</f>
        <v>108</v>
      </c>
      <c r="AI5" s="52">
        <f>SUM(AI8:AI40)</f>
        <v>108</v>
      </c>
      <c r="AJ5" s="138">
        <f>SUM(AJ8:AJ40)</f>
        <v>4000</v>
      </c>
      <c r="AK5" s="138">
        <f>SUM(AK8:AK40)</f>
        <v>108</v>
      </c>
      <c r="AL5" s="72">
        <f>SUM(AG5:AI5)</f>
        <v>342</v>
      </c>
    </row>
    <row r="6" spans="1:38">
      <c r="A6">
        <v>33</v>
      </c>
      <c r="B6" t="s">
        <v>123</v>
      </c>
      <c r="C6" t="s">
        <v>124</v>
      </c>
      <c r="D6" t="s">
        <v>178</v>
      </c>
      <c r="AG6" s="80" t="str">
        <f>'PRJ-AFEs'!D6</f>
        <v>WallExt</v>
      </c>
      <c r="AH6" s="80" t="str">
        <f>'PRJ-AFEs'!D4</f>
        <v>FloorAttic</v>
      </c>
      <c r="AI6" s="80" t="str">
        <f>'PRJ-AFEs'!D5</f>
        <v>FloorExt</v>
      </c>
      <c r="AJ6" s="135" t="str">
        <f>'PRJ-AFEs'!D8</f>
        <v>AtticVent</v>
      </c>
      <c r="AK6" s="135" t="str">
        <f>'PRJ-AFEs'!D9</f>
        <v>CrawlVent</v>
      </c>
    </row>
    <row r="7" spans="1:38">
      <c r="A7" t="s">
        <v>123</v>
      </c>
      <c r="B7" t="s">
        <v>179</v>
      </c>
      <c r="C7" t="s">
        <v>152</v>
      </c>
      <c r="D7" t="s">
        <v>180</v>
      </c>
      <c r="E7" t="s">
        <v>181</v>
      </c>
      <c r="F7" t="s">
        <v>182</v>
      </c>
      <c r="G7" t="s">
        <v>183</v>
      </c>
      <c r="H7" t="s">
        <v>184</v>
      </c>
      <c r="I7" t="s">
        <v>185</v>
      </c>
      <c r="J7" t="s">
        <v>153</v>
      </c>
      <c r="K7" t="s">
        <v>154</v>
      </c>
      <c r="L7" t="s">
        <v>156</v>
      </c>
      <c r="M7" t="s">
        <v>186</v>
      </c>
      <c r="N7" t="s">
        <v>97</v>
      </c>
      <c r="O7" t="s">
        <v>157</v>
      </c>
      <c r="P7" t="s">
        <v>187</v>
      </c>
      <c r="Q7" t="s">
        <v>188</v>
      </c>
      <c r="R7" t="s">
        <v>189</v>
      </c>
      <c r="S7" t="s">
        <v>190</v>
      </c>
      <c r="T7" t="s">
        <v>191</v>
      </c>
      <c r="U7" t="s">
        <v>192</v>
      </c>
      <c r="V7" t="s">
        <v>193</v>
      </c>
      <c r="W7" t="s">
        <v>131</v>
      </c>
      <c r="X7" t="s">
        <v>194</v>
      </c>
      <c r="Y7" t="s">
        <v>162</v>
      </c>
      <c r="Z7" t="s">
        <v>164</v>
      </c>
      <c r="AA7" t="s">
        <v>165</v>
      </c>
      <c r="AB7" t="s">
        <v>166</v>
      </c>
      <c r="AC7" t="s">
        <v>167</v>
      </c>
      <c r="AD7" t="s">
        <v>168</v>
      </c>
      <c r="AE7" t="s">
        <v>195</v>
      </c>
      <c r="AG7" s="81">
        <v>5</v>
      </c>
      <c r="AH7" s="81">
        <v>3</v>
      </c>
      <c r="AI7" s="81">
        <v>4</v>
      </c>
      <c r="AJ7" s="81">
        <v>1</v>
      </c>
      <c r="AK7" s="81">
        <v>2</v>
      </c>
    </row>
    <row r="8" spans="1:38">
      <c r="B8">
        <v>1</v>
      </c>
      <c r="C8">
        <v>1</v>
      </c>
      <c r="D8">
        <v>-1</v>
      </c>
      <c r="E8">
        <v>1</v>
      </c>
      <c r="F8">
        <v>1</v>
      </c>
      <c r="G8">
        <v>0</v>
      </c>
      <c r="H8">
        <v>1</v>
      </c>
      <c r="I8">
        <v>0</v>
      </c>
      <c r="J8">
        <v>0</v>
      </c>
      <c r="K8">
        <v>0</v>
      </c>
      <c r="L8">
        <v>4</v>
      </c>
      <c r="M8">
        <v>0</v>
      </c>
      <c r="N8">
        <v>0</v>
      </c>
      <c r="O8">
        <v>0</v>
      </c>
      <c r="P8">
        <v>1600</v>
      </c>
      <c r="Q8">
        <v>0</v>
      </c>
      <c r="R8">
        <v>0.36</v>
      </c>
      <c r="S8">
        <v>0</v>
      </c>
      <c r="T8">
        <v>0</v>
      </c>
      <c r="U8">
        <v>0</v>
      </c>
      <c r="V8">
        <v>0</v>
      </c>
      <c r="W8">
        <v>23</v>
      </c>
      <c r="X8">
        <v>6</v>
      </c>
      <c r="Y8">
        <v>-1</v>
      </c>
      <c r="Z8">
        <v>0</v>
      </c>
      <c r="AA8">
        <v>0</v>
      </c>
      <c r="AB8">
        <v>0</v>
      </c>
      <c r="AC8">
        <v>4</v>
      </c>
      <c r="AD8">
        <v>0</v>
      </c>
      <c r="AE8">
        <v>0</v>
      </c>
      <c r="AG8" s="1">
        <f t="shared" ref="AG8:AK23" si="0">IF($F8=AG$7,$P8,0)</f>
        <v>0</v>
      </c>
      <c r="AH8" s="1">
        <f t="shared" si="0"/>
        <v>0</v>
      </c>
      <c r="AI8" s="1">
        <f t="shared" si="0"/>
        <v>0</v>
      </c>
      <c r="AJ8" s="14">
        <f t="shared" si="0"/>
        <v>1600</v>
      </c>
      <c r="AK8" s="14">
        <f t="shared" si="0"/>
        <v>0</v>
      </c>
    </row>
    <row r="9" spans="1:38">
      <c r="B9">
        <v>2</v>
      </c>
      <c r="C9">
        <v>1</v>
      </c>
      <c r="D9">
        <v>-1</v>
      </c>
      <c r="E9">
        <v>1</v>
      </c>
      <c r="F9">
        <v>1</v>
      </c>
      <c r="G9">
        <v>0</v>
      </c>
      <c r="H9">
        <v>2</v>
      </c>
      <c r="I9">
        <v>0</v>
      </c>
      <c r="J9">
        <v>0</v>
      </c>
      <c r="K9">
        <v>0</v>
      </c>
      <c r="L9">
        <v>3</v>
      </c>
      <c r="M9">
        <v>0</v>
      </c>
      <c r="N9">
        <v>0</v>
      </c>
      <c r="O9">
        <v>0</v>
      </c>
      <c r="P9">
        <v>1200</v>
      </c>
      <c r="Q9">
        <v>0</v>
      </c>
      <c r="R9">
        <v>0.36</v>
      </c>
      <c r="S9">
        <v>0</v>
      </c>
      <c r="T9">
        <v>0</v>
      </c>
      <c r="U9">
        <v>0</v>
      </c>
      <c r="V9">
        <v>0</v>
      </c>
      <c r="W9">
        <v>23</v>
      </c>
      <c r="X9">
        <v>3</v>
      </c>
      <c r="Y9">
        <v>-1</v>
      </c>
      <c r="Z9">
        <v>0</v>
      </c>
      <c r="AA9">
        <v>0</v>
      </c>
      <c r="AB9">
        <v>0</v>
      </c>
      <c r="AC9">
        <v>4</v>
      </c>
      <c r="AD9">
        <v>0</v>
      </c>
      <c r="AE9">
        <v>0</v>
      </c>
      <c r="AG9" s="1">
        <f t="shared" si="0"/>
        <v>0</v>
      </c>
      <c r="AH9" s="1">
        <f t="shared" si="0"/>
        <v>0</v>
      </c>
      <c r="AI9" s="1">
        <f t="shared" si="0"/>
        <v>0</v>
      </c>
      <c r="AJ9" s="14">
        <f t="shared" si="0"/>
        <v>1200</v>
      </c>
      <c r="AK9" s="14">
        <f t="shared" si="0"/>
        <v>0</v>
      </c>
    </row>
    <row r="10" spans="1:38">
      <c r="B10">
        <v>3</v>
      </c>
      <c r="C10">
        <v>0</v>
      </c>
      <c r="D10">
        <v>2</v>
      </c>
      <c r="E10">
        <v>1</v>
      </c>
      <c r="F10">
        <v>3</v>
      </c>
      <c r="G10">
        <v>0</v>
      </c>
      <c r="H10">
        <v>0</v>
      </c>
      <c r="I10">
        <v>0</v>
      </c>
      <c r="J10">
        <v>0</v>
      </c>
      <c r="K10">
        <v>0</v>
      </c>
      <c r="L10">
        <v>3</v>
      </c>
      <c r="M10">
        <v>0</v>
      </c>
      <c r="N10">
        <v>0</v>
      </c>
      <c r="O10">
        <v>0</v>
      </c>
      <c r="P10">
        <v>9</v>
      </c>
      <c r="Q10">
        <v>0</v>
      </c>
      <c r="R10">
        <v>0</v>
      </c>
      <c r="S10">
        <v>-1</v>
      </c>
      <c r="T10">
        <v>0</v>
      </c>
      <c r="U10">
        <v>0</v>
      </c>
      <c r="V10">
        <v>0</v>
      </c>
      <c r="W10">
        <v>23</v>
      </c>
      <c r="X10">
        <v>3</v>
      </c>
      <c r="Y10">
        <v>-1</v>
      </c>
      <c r="Z10">
        <v>0</v>
      </c>
      <c r="AA10">
        <v>0</v>
      </c>
      <c r="AB10">
        <v>0</v>
      </c>
      <c r="AC10">
        <v>4</v>
      </c>
      <c r="AD10">
        <v>0</v>
      </c>
      <c r="AE10">
        <v>0</v>
      </c>
      <c r="AG10" s="1">
        <f t="shared" si="0"/>
        <v>0</v>
      </c>
      <c r="AH10" s="1">
        <f t="shared" si="0"/>
        <v>9</v>
      </c>
      <c r="AI10" s="1">
        <f t="shared" si="0"/>
        <v>0</v>
      </c>
      <c r="AJ10" s="14">
        <f t="shared" si="0"/>
        <v>0</v>
      </c>
      <c r="AK10" s="14">
        <f t="shared" si="0"/>
        <v>0</v>
      </c>
    </row>
    <row r="11" spans="1:38">
      <c r="B11">
        <v>4</v>
      </c>
      <c r="C11">
        <v>0</v>
      </c>
      <c r="D11">
        <v>3</v>
      </c>
      <c r="E11">
        <v>1</v>
      </c>
      <c r="F11">
        <v>3</v>
      </c>
      <c r="G11">
        <v>0</v>
      </c>
      <c r="H11">
        <v>0</v>
      </c>
      <c r="I11">
        <v>0</v>
      </c>
      <c r="J11">
        <v>0</v>
      </c>
      <c r="K11">
        <v>0</v>
      </c>
      <c r="L11">
        <v>3</v>
      </c>
      <c r="M11">
        <v>0</v>
      </c>
      <c r="N11">
        <v>0</v>
      </c>
      <c r="O11">
        <v>0</v>
      </c>
      <c r="P11">
        <v>16</v>
      </c>
      <c r="Q11">
        <v>0</v>
      </c>
      <c r="R11">
        <v>0</v>
      </c>
      <c r="S11">
        <v>-1</v>
      </c>
      <c r="T11">
        <v>0</v>
      </c>
      <c r="U11">
        <v>0</v>
      </c>
      <c r="V11">
        <v>0</v>
      </c>
      <c r="W11">
        <v>23</v>
      </c>
      <c r="X11">
        <v>3</v>
      </c>
      <c r="Y11">
        <v>-1</v>
      </c>
      <c r="Z11">
        <v>0</v>
      </c>
      <c r="AA11">
        <v>0</v>
      </c>
      <c r="AB11">
        <v>0</v>
      </c>
      <c r="AC11">
        <v>4</v>
      </c>
      <c r="AD11">
        <v>0</v>
      </c>
      <c r="AE11">
        <v>0</v>
      </c>
      <c r="AG11" s="1">
        <f t="shared" si="0"/>
        <v>0</v>
      </c>
      <c r="AH11" s="1">
        <f t="shared" si="0"/>
        <v>16</v>
      </c>
      <c r="AI11" s="1">
        <f t="shared" si="0"/>
        <v>0</v>
      </c>
      <c r="AJ11" s="14">
        <f t="shared" si="0"/>
        <v>0</v>
      </c>
      <c r="AK11" s="14">
        <f t="shared" si="0"/>
        <v>0</v>
      </c>
    </row>
    <row r="12" spans="1:38">
      <c r="B12">
        <v>5</v>
      </c>
      <c r="C12">
        <v>0</v>
      </c>
      <c r="D12">
        <v>4</v>
      </c>
      <c r="E12">
        <v>1</v>
      </c>
      <c r="F12">
        <v>3</v>
      </c>
      <c r="G12">
        <v>0</v>
      </c>
      <c r="H12">
        <v>0</v>
      </c>
      <c r="I12">
        <v>0</v>
      </c>
      <c r="J12">
        <v>0</v>
      </c>
      <c r="K12">
        <v>0</v>
      </c>
      <c r="L12">
        <v>3</v>
      </c>
      <c r="M12">
        <v>0</v>
      </c>
      <c r="N12">
        <v>0</v>
      </c>
      <c r="O12">
        <v>0</v>
      </c>
      <c r="P12">
        <v>20</v>
      </c>
      <c r="Q12">
        <v>0</v>
      </c>
      <c r="R12">
        <v>0</v>
      </c>
      <c r="S12">
        <v>-1</v>
      </c>
      <c r="T12">
        <v>0</v>
      </c>
      <c r="U12">
        <v>0</v>
      </c>
      <c r="V12">
        <v>0</v>
      </c>
      <c r="W12">
        <v>23</v>
      </c>
      <c r="X12">
        <v>3</v>
      </c>
      <c r="Y12">
        <v>-1</v>
      </c>
      <c r="Z12">
        <v>0</v>
      </c>
      <c r="AA12">
        <v>0</v>
      </c>
      <c r="AB12">
        <v>0</v>
      </c>
      <c r="AC12">
        <v>4</v>
      </c>
      <c r="AD12">
        <v>0</v>
      </c>
      <c r="AE12">
        <v>0</v>
      </c>
      <c r="AG12" s="1">
        <f t="shared" si="0"/>
        <v>0</v>
      </c>
      <c r="AH12" s="1">
        <f t="shared" si="0"/>
        <v>20</v>
      </c>
      <c r="AI12" s="1">
        <f t="shared" si="0"/>
        <v>0</v>
      </c>
      <c r="AJ12" s="14">
        <f t="shared" si="0"/>
        <v>0</v>
      </c>
      <c r="AK12" s="14">
        <f t="shared" si="0"/>
        <v>0</v>
      </c>
    </row>
    <row r="13" spans="1:38">
      <c r="B13">
        <v>6</v>
      </c>
      <c r="C13">
        <v>0</v>
      </c>
      <c r="D13">
        <v>5</v>
      </c>
      <c r="E13">
        <v>1</v>
      </c>
      <c r="F13">
        <v>3</v>
      </c>
      <c r="G13">
        <v>0</v>
      </c>
      <c r="H13">
        <v>0</v>
      </c>
      <c r="I13">
        <v>0</v>
      </c>
      <c r="J13">
        <v>0</v>
      </c>
      <c r="K13">
        <v>0</v>
      </c>
      <c r="L13">
        <v>3</v>
      </c>
      <c r="M13">
        <v>0</v>
      </c>
      <c r="N13">
        <v>0</v>
      </c>
      <c r="O13">
        <v>0</v>
      </c>
      <c r="P13">
        <v>45</v>
      </c>
      <c r="Q13">
        <v>0</v>
      </c>
      <c r="R13">
        <v>0</v>
      </c>
      <c r="S13">
        <v>-1</v>
      </c>
      <c r="T13">
        <v>0</v>
      </c>
      <c r="U13">
        <v>0</v>
      </c>
      <c r="V13">
        <v>0</v>
      </c>
      <c r="W13">
        <v>23</v>
      </c>
      <c r="X13">
        <v>3</v>
      </c>
      <c r="Y13">
        <v>-1</v>
      </c>
      <c r="Z13">
        <v>0</v>
      </c>
      <c r="AA13">
        <v>0</v>
      </c>
      <c r="AB13">
        <v>0</v>
      </c>
      <c r="AC13">
        <v>4</v>
      </c>
      <c r="AD13">
        <v>0</v>
      </c>
      <c r="AE13">
        <v>0</v>
      </c>
      <c r="AG13" s="1">
        <f t="shared" si="0"/>
        <v>0</v>
      </c>
      <c r="AH13" s="1">
        <f t="shared" si="0"/>
        <v>45</v>
      </c>
      <c r="AI13" s="1">
        <f t="shared" si="0"/>
        <v>0</v>
      </c>
      <c r="AJ13" s="14">
        <f t="shared" si="0"/>
        <v>0</v>
      </c>
      <c r="AK13" s="14">
        <f t="shared" si="0"/>
        <v>0</v>
      </c>
    </row>
    <row r="14" spans="1:38">
      <c r="B14">
        <v>7</v>
      </c>
      <c r="C14">
        <v>0</v>
      </c>
      <c r="D14">
        <v>6</v>
      </c>
      <c r="E14">
        <v>1</v>
      </c>
      <c r="F14">
        <v>3</v>
      </c>
      <c r="G14">
        <v>0</v>
      </c>
      <c r="H14">
        <v>0</v>
      </c>
      <c r="I14">
        <v>0</v>
      </c>
      <c r="J14">
        <v>0</v>
      </c>
      <c r="K14">
        <v>0</v>
      </c>
      <c r="L14">
        <v>3</v>
      </c>
      <c r="M14">
        <v>0</v>
      </c>
      <c r="N14">
        <v>0</v>
      </c>
      <c r="O14">
        <v>0</v>
      </c>
      <c r="P14">
        <v>18</v>
      </c>
      <c r="Q14">
        <v>0</v>
      </c>
      <c r="R14">
        <v>0</v>
      </c>
      <c r="S14">
        <v>-1</v>
      </c>
      <c r="T14">
        <v>0</v>
      </c>
      <c r="U14">
        <v>0</v>
      </c>
      <c r="V14">
        <v>0</v>
      </c>
      <c r="W14">
        <v>23</v>
      </c>
      <c r="X14">
        <v>3</v>
      </c>
      <c r="Y14">
        <v>-1</v>
      </c>
      <c r="Z14">
        <v>0</v>
      </c>
      <c r="AA14">
        <v>0</v>
      </c>
      <c r="AB14">
        <v>0</v>
      </c>
      <c r="AC14">
        <v>4</v>
      </c>
      <c r="AD14">
        <v>0</v>
      </c>
      <c r="AE14">
        <v>0</v>
      </c>
      <c r="AG14" s="1">
        <f t="shared" si="0"/>
        <v>0</v>
      </c>
      <c r="AH14" s="1">
        <f t="shared" si="0"/>
        <v>18</v>
      </c>
      <c r="AI14" s="1">
        <f t="shared" si="0"/>
        <v>0</v>
      </c>
      <c r="AJ14" s="14">
        <f t="shared" si="0"/>
        <v>0</v>
      </c>
      <c r="AK14" s="14">
        <f t="shared" si="0"/>
        <v>0</v>
      </c>
    </row>
    <row r="15" spans="1:38">
      <c r="B15">
        <v>8</v>
      </c>
      <c r="C15">
        <v>1</v>
      </c>
      <c r="D15">
        <v>-1</v>
      </c>
      <c r="E15">
        <v>1</v>
      </c>
      <c r="F15">
        <v>1</v>
      </c>
      <c r="G15">
        <v>0</v>
      </c>
      <c r="H15">
        <v>2</v>
      </c>
      <c r="I15">
        <v>0</v>
      </c>
      <c r="J15">
        <v>0</v>
      </c>
      <c r="K15">
        <v>0</v>
      </c>
      <c r="L15">
        <v>3</v>
      </c>
      <c r="M15">
        <v>0</v>
      </c>
      <c r="N15">
        <v>0</v>
      </c>
      <c r="O15">
        <v>0</v>
      </c>
      <c r="P15">
        <v>1200</v>
      </c>
      <c r="Q15">
        <v>0</v>
      </c>
      <c r="R15">
        <v>0.36</v>
      </c>
      <c r="S15">
        <v>180</v>
      </c>
      <c r="T15">
        <v>0</v>
      </c>
      <c r="U15">
        <v>0</v>
      </c>
      <c r="V15">
        <v>0</v>
      </c>
      <c r="W15">
        <v>23</v>
      </c>
      <c r="X15">
        <v>3</v>
      </c>
      <c r="Y15">
        <v>-1</v>
      </c>
      <c r="Z15">
        <v>0</v>
      </c>
      <c r="AA15">
        <v>0</v>
      </c>
      <c r="AB15">
        <v>0</v>
      </c>
      <c r="AC15">
        <v>4</v>
      </c>
      <c r="AD15">
        <v>0</v>
      </c>
      <c r="AE15">
        <v>0</v>
      </c>
      <c r="AG15" s="1">
        <f t="shared" si="0"/>
        <v>0</v>
      </c>
      <c r="AH15" s="1">
        <f t="shared" si="0"/>
        <v>0</v>
      </c>
      <c r="AI15" s="1">
        <f t="shared" si="0"/>
        <v>0</v>
      </c>
      <c r="AJ15" s="14">
        <f t="shared" si="0"/>
        <v>1200</v>
      </c>
      <c r="AK15" s="14">
        <f t="shared" si="0"/>
        <v>0</v>
      </c>
    </row>
    <row r="16" spans="1:38">
      <c r="B16">
        <v>9</v>
      </c>
      <c r="C16">
        <v>1</v>
      </c>
      <c r="D16">
        <v>-1</v>
      </c>
      <c r="E16">
        <v>3</v>
      </c>
      <c r="F16">
        <v>5</v>
      </c>
      <c r="G16">
        <v>0</v>
      </c>
      <c r="H16">
        <v>2</v>
      </c>
      <c r="I16">
        <v>0</v>
      </c>
      <c r="J16">
        <v>0</v>
      </c>
      <c r="K16">
        <v>0</v>
      </c>
      <c r="L16">
        <v>2</v>
      </c>
      <c r="M16">
        <v>0</v>
      </c>
      <c r="N16">
        <v>0</v>
      </c>
      <c r="O16">
        <v>1.5</v>
      </c>
      <c r="P16">
        <v>12</v>
      </c>
      <c r="Q16">
        <v>0</v>
      </c>
      <c r="R16">
        <v>0.36</v>
      </c>
      <c r="S16">
        <v>0</v>
      </c>
      <c r="T16">
        <v>0</v>
      </c>
      <c r="U16">
        <v>0</v>
      </c>
      <c r="V16">
        <v>0</v>
      </c>
      <c r="W16">
        <v>23</v>
      </c>
      <c r="X16">
        <v>4</v>
      </c>
      <c r="Y16">
        <v>-1</v>
      </c>
      <c r="Z16">
        <v>0</v>
      </c>
      <c r="AA16">
        <v>0</v>
      </c>
      <c r="AB16">
        <v>0</v>
      </c>
      <c r="AC16">
        <v>4</v>
      </c>
      <c r="AD16">
        <v>0</v>
      </c>
      <c r="AE16">
        <v>0</v>
      </c>
      <c r="AG16" s="1">
        <f t="shared" si="0"/>
        <v>12</v>
      </c>
      <c r="AH16" s="1">
        <f t="shared" si="0"/>
        <v>0</v>
      </c>
      <c r="AI16" s="1">
        <f t="shared" si="0"/>
        <v>0</v>
      </c>
      <c r="AJ16" s="14">
        <f t="shared" si="0"/>
        <v>0</v>
      </c>
      <c r="AK16" s="14">
        <f t="shared" si="0"/>
        <v>0</v>
      </c>
    </row>
    <row r="17" spans="2:37">
      <c r="B17">
        <v>10</v>
      </c>
      <c r="C17">
        <v>1</v>
      </c>
      <c r="D17">
        <v>-1</v>
      </c>
      <c r="E17">
        <v>5</v>
      </c>
      <c r="F17">
        <v>5</v>
      </c>
      <c r="G17">
        <v>0</v>
      </c>
      <c r="H17">
        <v>2</v>
      </c>
      <c r="I17">
        <v>0</v>
      </c>
      <c r="J17">
        <v>0</v>
      </c>
      <c r="K17">
        <v>0</v>
      </c>
      <c r="L17">
        <v>2</v>
      </c>
      <c r="M17">
        <v>0</v>
      </c>
      <c r="N17">
        <v>0</v>
      </c>
      <c r="O17">
        <v>1.5</v>
      </c>
      <c r="P17">
        <v>15</v>
      </c>
      <c r="Q17">
        <v>0</v>
      </c>
      <c r="R17">
        <v>0.36</v>
      </c>
      <c r="S17">
        <v>0</v>
      </c>
      <c r="T17">
        <v>0</v>
      </c>
      <c r="U17">
        <v>0</v>
      </c>
      <c r="V17">
        <v>0</v>
      </c>
      <c r="W17">
        <v>23</v>
      </c>
      <c r="X17">
        <v>4</v>
      </c>
      <c r="Y17">
        <v>-1</v>
      </c>
      <c r="Z17">
        <v>0</v>
      </c>
      <c r="AA17">
        <v>0</v>
      </c>
      <c r="AB17">
        <v>0</v>
      </c>
      <c r="AC17">
        <v>4</v>
      </c>
      <c r="AD17">
        <v>0</v>
      </c>
      <c r="AE17">
        <v>0</v>
      </c>
      <c r="AG17" s="1">
        <f t="shared" si="0"/>
        <v>15</v>
      </c>
      <c r="AH17" s="1">
        <f t="shared" si="0"/>
        <v>0</v>
      </c>
      <c r="AI17" s="1">
        <f t="shared" si="0"/>
        <v>0</v>
      </c>
      <c r="AJ17" s="14">
        <f t="shared" si="0"/>
        <v>0</v>
      </c>
      <c r="AK17" s="14">
        <f t="shared" si="0"/>
        <v>0</v>
      </c>
    </row>
    <row r="18" spans="2:37">
      <c r="B18">
        <v>11</v>
      </c>
      <c r="C18">
        <v>1</v>
      </c>
      <c r="D18">
        <v>-1</v>
      </c>
      <c r="E18">
        <v>2</v>
      </c>
      <c r="F18">
        <v>5</v>
      </c>
      <c r="G18">
        <v>0</v>
      </c>
      <c r="H18">
        <v>2</v>
      </c>
      <c r="I18">
        <v>0</v>
      </c>
      <c r="J18">
        <v>0</v>
      </c>
      <c r="K18">
        <v>0</v>
      </c>
      <c r="L18">
        <v>2</v>
      </c>
      <c r="M18">
        <v>0</v>
      </c>
      <c r="N18">
        <v>0</v>
      </c>
      <c r="O18">
        <v>1.5</v>
      </c>
      <c r="P18">
        <v>9</v>
      </c>
      <c r="Q18">
        <v>0</v>
      </c>
      <c r="R18">
        <v>0.36</v>
      </c>
      <c r="S18">
        <v>0</v>
      </c>
      <c r="T18">
        <v>0</v>
      </c>
      <c r="U18">
        <v>0</v>
      </c>
      <c r="V18">
        <v>0</v>
      </c>
      <c r="W18">
        <v>23</v>
      </c>
      <c r="X18">
        <v>4</v>
      </c>
      <c r="Y18">
        <v>-1</v>
      </c>
      <c r="Z18">
        <v>0</v>
      </c>
      <c r="AA18">
        <v>0</v>
      </c>
      <c r="AB18">
        <v>0</v>
      </c>
      <c r="AC18">
        <v>4</v>
      </c>
      <c r="AD18">
        <v>0</v>
      </c>
      <c r="AE18">
        <v>0</v>
      </c>
      <c r="AG18" s="1">
        <f t="shared" si="0"/>
        <v>9</v>
      </c>
      <c r="AH18" s="1">
        <f t="shared" si="0"/>
        <v>0</v>
      </c>
      <c r="AI18" s="1">
        <f t="shared" si="0"/>
        <v>0</v>
      </c>
      <c r="AJ18" s="14">
        <f t="shared" si="0"/>
        <v>0</v>
      </c>
      <c r="AK18" s="14">
        <f t="shared" si="0"/>
        <v>0</v>
      </c>
    </row>
    <row r="19" spans="2:37">
      <c r="B19">
        <v>12</v>
      </c>
      <c r="C19">
        <v>1</v>
      </c>
      <c r="D19">
        <v>-1</v>
      </c>
      <c r="E19">
        <v>3</v>
      </c>
      <c r="F19">
        <v>5</v>
      </c>
      <c r="G19">
        <v>0</v>
      </c>
      <c r="H19">
        <v>2</v>
      </c>
      <c r="I19">
        <v>0</v>
      </c>
      <c r="J19">
        <v>0</v>
      </c>
      <c r="K19">
        <v>0</v>
      </c>
      <c r="L19">
        <v>2</v>
      </c>
      <c r="M19">
        <v>0</v>
      </c>
      <c r="N19">
        <v>0</v>
      </c>
      <c r="O19">
        <v>1.5</v>
      </c>
      <c r="P19">
        <v>12</v>
      </c>
      <c r="Q19">
        <v>0</v>
      </c>
      <c r="R19">
        <v>0.36</v>
      </c>
      <c r="S19">
        <v>270</v>
      </c>
      <c r="T19">
        <v>0</v>
      </c>
      <c r="U19">
        <v>0</v>
      </c>
      <c r="V19">
        <v>0</v>
      </c>
      <c r="W19">
        <v>23</v>
      </c>
      <c r="X19">
        <v>2</v>
      </c>
      <c r="Y19">
        <v>-1</v>
      </c>
      <c r="Z19">
        <v>0</v>
      </c>
      <c r="AA19">
        <v>0</v>
      </c>
      <c r="AB19">
        <v>0</v>
      </c>
      <c r="AC19">
        <v>4</v>
      </c>
      <c r="AD19">
        <v>0</v>
      </c>
      <c r="AE19">
        <v>0</v>
      </c>
      <c r="AG19" s="1">
        <f t="shared" si="0"/>
        <v>12</v>
      </c>
      <c r="AH19" s="1">
        <f t="shared" si="0"/>
        <v>0</v>
      </c>
      <c r="AI19" s="1">
        <f t="shared" si="0"/>
        <v>0</v>
      </c>
      <c r="AJ19" s="14">
        <f t="shared" si="0"/>
        <v>0</v>
      </c>
      <c r="AK19" s="14">
        <f t="shared" si="0"/>
        <v>0</v>
      </c>
    </row>
    <row r="20" spans="2:37">
      <c r="B20">
        <v>13</v>
      </c>
      <c r="C20">
        <v>1</v>
      </c>
      <c r="D20">
        <v>-1</v>
      </c>
      <c r="E20">
        <v>2</v>
      </c>
      <c r="F20">
        <v>5</v>
      </c>
      <c r="G20">
        <v>0</v>
      </c>
      <c r="H20">
        <v>2</v>
      </c>
      <c r="I20">
        <v>0</v>
      </c>
      <c r="J20">
        <v>0</v>
      </c>
      <c r="K20">
        <v>0</v>
      </c>
      <c r="L20">
        <v>2</v>
      </c>
      <c r="M20">
        <v>0</v>
      </c>
      <c r="N20">
        <v>0</v>
      </c>
      <c r="O20">
        <v>1.5</v>
      </c>
      <c r="P20">
        <v>9</v>
      </c>
      <c r="Q20">
        <v>0</v>
      </c>
      <c r="R20">
        <v>0.36</v>
      </c>
      <c r="S20">
        <v>90</v>
      </c>
      <c r="T20">
        <v>0</v>
      </c>
      <c r="U20">
        <v>0</v>
      </c>
      <c r="V20">
        <v>0</v>
      </c>
      <c r="W20">
        <v>23</v>
      </c>
      <c r="X20">
        <v>5</v>
      </c>
      <c r="Y20">
        <v>-1</v>
      </c>
      <c r="Z20">
        <v>0</v>
      </c>
      <c r="AA20">
        <v>0</v>
      </c>
      <c r="AB20">
        <v>0</v>
      </c>
      <c r="AC20">
        <v>4</v>
      </c>
      <c r="AD20">
        <v>0</v>
      </c>
      <c r="AE20">
        <v>0</v>
      </c>
      <c r="AG20" s="1">
        <f t="shared" si="0"/>
        <v>9</v>
      </c>
      <c r="AH20" s="1">
        <f t="shared" si="0"/>
        <v>0</v>
      </c>
      <c r="AI20" s="1">
        <f t="shared" si="0"/>
        <v>0</v>
      </c>
      <c r="AJ20" s="14">
        <f t="shared" si="0"/>
        <v>0</v>
      </c>
      <c r="AK20" s="14">
        <f t="shared" si="0"/>
        <v>0</v>
      </c>
    </row>
    <row r="21" spans="2:37">
      <c r="B21">
        <v>14</v>
      </c>
      <c r="C21">
        <v>0</v>
      </c>
      <c r="D21">
        <v>5</v>
      </c>
      <c r="E21">
        <v>2</v>
      </c>
      <c r="F21">
        <v>6</v>
      </c>
      <c r="G21">
        <v>0</v>
      </c>
      <c r="H21">
        <v>0</v>
      </c>
      <c r="I21">
        <v>0</v>
      </c>
      <c r="J21">
        <v>0</v>
      </c>
      <c r="K21">
        <v>0</v>
      </c>
      <c r="L21">
        <v>2</v>
      </c>
      <c r="M21">
        <v>0</v>
      </c>
      <c r="N21">
        <v>0</v>
      </c>
      <c r="O21">
        <v>1.5</v>
      </c>
      <c r="P21">
        <v>9</v>
      </c>
      <c r="Q21">
        <v>0</v>
      </c>
      <c r="R21">
        <v>0</v>
      </c>
      <c r="S21">
        <v>-1</v>
      </c>
      <c r="T21">
        <v>0</v>
      </c>
      <c r="U21">
        <v>0</v>
      </c>
      <c r="V21">
        <v>0</v>
      </c>
      <c r="W21">
        <v>23</v>
      </c>
      <c r="X21">
        <v>2</v>
      </c>
      <c r="Y21">
        <v>-1</v>
      </c>
      <c r="Z21">
        <v>0</v>
      </c>
      <c r="AA21">
        <v>0</v>
      </c>
      <c r="AB21">
        <v>0</v>
      </c>
      <c r="AC21">
        <v>4</v>
      </c>
      <c r="AD21">
        <v>0</v>
      </c>
      <c r="AE21">
        <v>0</v>
      </c>
      <c r="AG21" s="1">
        <f t="shared" si="0"/>
        <v>0</v>
      </c>
      <c r="AH21" s="1">
        <f t="shared" si="0"/>
        <v>0</v>
      </c>
      <c r="AI21" s="1">
        <f t="shared" si="0"/>
        <v>0</v>
      </c>
      <c r="AJ21" s="14">
        <f t="shared" si="0"/>
        <v>0</v>
      </c>
      <c r="AK21" s="14">
        <f t="shared" si="0"/>
        <v>0</v>
      </c>
    </row>
    <row r="22" spans="2:37">
      <c r="B22">
        <v>15</v>
      </c>
      <c r="C22">
        <v>0</v>
      </c>
      <c r="D22">
        <v>7</v>
      </c>
      <c r="E22">
        <v>2</v>
      </c>
      <c r="F22">
        <v>4</v>
      </c>
      <c r="G22">
        <v>0</v>
      </c>
      <c r="H22">
        <v>0</v>
      </c>
      <c r="I22">
        <v>0</v>
      </c>
      <c r="J22">
        <v>0</v>
      </c>
      <c r="K22">
        <v>0</v>
      </c>
      <c r="L22">
        <v>2</v>
      </c>
      <c r="M22">
        <v>0</v>
      </c>
      <c r="N22">
        <v>0</v>
      </c>
      <c r="O22">
        <v>0</v>
      </c>
      <c r="P22">
        <v>9</v>
      </c>
      <c r="Q22">
        <v>0</v>
      </c>
      <c r="R22">
        <v>0</v>
      </c>
      <c r="S22">
        <v>-1</v>
      </c>
      <c r="T22">
        <v>0</v>
      </c>
      <c r="U22">
        <v>0</v>
      </c>
      <c r="V22">
        <v>0</v>
      </c>
      <c r="W22">
        <v>23</v>
      </c>
      <c r="X22">
        <v>3</v>
      </c>
      <c r="Y22">
        <v>-1</v>
      </c>
      <c r="Z22">
        <v>0</v>
      </c>
      <c r="AA22">
        <v>0</v>
      </c>
      <c r="AB22">
        <v>0</v>
      </c>
      <c r="AC22">
        <v>4</v>
      </c>
      <c r="AD22">
        <v>0</v>
      </c>
      <c r="AE22">
        <v>0</v>
      </c>
      <c r="AG22" s="1">
        <f t="shared" si="0"/>
        <v>0</v>
      </c>
      <c r="AH22" s="1">
        <f t="shared" si="0"/>
        <v>0</v>
      </c>
      <c r="AI22" s="1">
        <f t="shared" si="0"/>
        <v>9</v>
      </c>
      <c r="AJ22" s="14">
        <f t="shared" si="0"/>
        <v>0</v>
      </c>
      <c r="AK22" s="14">
        <f t="shared" si="0"/>
        <v>0</v>
      </c>
    </row>
    <row r="23" spans="2:37">
      <c r="B23">
        <v>16</v>
      </c>
      <c r="C23">
        <v>0</v>
      </c>
      <c r="D23">
        <v>6</v>
      </c>
      <c r="E23">
        <v>2</v>
      </c>
      <c r="F23">
        <v>6</v>
      </c>
      <c r="G23">
        <v>0</v>
      </c>
      <c r="H23">
        <v>0</v>
      </c>
      <c r="I23">
        <v>0</v>
      </c>
      <c r="J23">
        <v>0</v>
      </c>
      <c r="K23">
        <v>0</v>
      </c>
      <c r="L23">
        <v>2</v>
      </c>
      <c r="M23">
        <v>0</v>
      </c>
      <c r="N23">
        <v>0</v>
      </c>
      <c r="O23">
        <v>1.5</v>
      </c>
      <c r="P23">
        <v>9</v>
      </c>
      <c r="Q23">
        <v>0</v>
      </c>
      <c r="R23">
        <v>0</v>
      </c>
      <c r="S23">
        <v>-1</v>
      </c>
      <c r="T23">
        <v>0</v>
      </c>
      <c r="U23">
        <v>0</v>
      </c>
      <c r="V23">
        <v>0</v>
      </c>
      <c r="W23">
        <v>23</v>
      </c>
      <c r="X23">
        <v>1</v>
      </c>
      <c r="Y23">
        <v>-1</v>
      </c>
      <c r="Z23">
        <v>0</v>
      </c>
      <c r="AA23">
        <v>0</v>
      </c>
      <c r="AB23">
        <v>0</v>
      </c>
      <c r="AC23">
        <v>4</v>
      </c>
      <c r="AD23">
        <v>0</v>
      </c>
      <c r="AE23">
        <v>0</v>
      </c>
      <c r="AG23" s="1">
        <f t="shared" si="0"/>
        <v>0</v>
      </c>
      <c r="AH23" s="1">
        <f t="shared" si="0"/>
        <v>0</v>
      </c>
      <c r="AI23" s="1">
        <f t="shared" si="0"/>
        <v>0</v>
      </c>
      <c r="AJ23" s="14">
        <f t="shared" si="0"/>
        <v>0</v>
      </c>
      <c r="AK23" s="14">
        <f t="shared" si="0"/>
        <v>0</v>
      </c>
    </row>
    <row r="24" spans="2:37">
      <c r="B24">
        <v>17</v>
      </c>
      <c r="C24">
        <v>0</v>
      </c>
      <c r="D24">
        <v>5</v>
      </c>
      <c r="E24">
        <v>6</v>
      </c>
      <c r="F24">
        <v>6</v>
      </c>
      <c r="G24">
        <v>0</v>
      </c>
      <c r="H24">
        <v>0</v>
      </c>
      <c r="I24">
        <v>0</v>
      </c>
      <c r="J24">
        <v>0</v>
      </c>
      <c r="K24">
        <v>0</v>
      </c>
      <c r="L24">
        <v>2</v>
      </c>
      <c r="M24">
        <v>0</v>
      </c>
      <c r="N24">
        <v>0</v>
      </c>
      <c r="O24">
        <v>1.5</v>
      </c>
      <c r="P24">
        <v>18</v>
      </c>
      <c r="Q24">
        <v>0</v>
      </c>
      <c r="R24">
        <v>0</v>
      </c>
      <c r="S24">
        <v>-1</v>
      </c>
      <c r="T24">
        <v>0</v>
      </c>
      <c r="U24">
        <v>0</v>
      </c>
      <c r="V24">
        <v>0</v>
      </c>
      <c r="W24">
        <v>23</v>
      </c>
      <c r="X24">
        <v>2</v>
      </c>
      <c r="Y24">
        <v>-1</v>
      </c>
      <c r="Z24">
        <v>0</v>
      </c>
      <c r="AA24">
        <v>0</v>
      </c>
      <c r="AB24">
        <v>0</v>
      </c>
      <c r="AC24">
        <v>4</v>
      </c>
      <c r="AD24">
        <v>0</v>
      </c>
      <c r="AE24">
        <v>0</v>
      </c>
      <c r="AG24" s="1">
        <f t="shared" ref="AG24:AK40" si="1">IF($F24=AG$7,$P24,0)</f>
        <v>0</v>
      </c>
      <c r="AH24" s="1">
        <f t="shared" si="1"/>
        <v>0</v>
      </c>
      <c r="AI24" s="1">
        <f t="shared" si="1"/>
        <v>0</v>
      </c>
      <c r="AJ24" s="14">
        <f t="shared" si="1"/>
        <v>0</v>
      </c>
      <c r="AK24" s="14">
        <f t="shared" si="1"/>
        <v>0</v>
      </c>
    </row>
    <row r="25" spans="2:37">
      <c r="B25">
        <v>18</v>
      </c>
      <c r="C25">
        <v>1</v>
      </c>
      <c r="D25">
        <v>-1</v>
      </c>
      <c r="E25">
        <v>6</v>
      </c>
      <c r="F25">
        <v>5</v>
      </c>
      <c r="G25">
        <v>0</v>
      </c>
      <c r="H25">
        <v>2</v>
      </c>
      <c r="I25">
        <v>0</v>
      </c>
      <c r="J25">
        <v>0</v>
      </c>
      <c r="K25">
        <v>0</v>
      </c>
      <c r="L25">
        <v>2</v>
      </c>
      <c r="M25">
        <v>0</v>
      </c>
      <c r="N25">
        <v>0</v>
      </c>
      <c r="O25">
        <v>1.5</v>
      </c>
      <c r="P25">
        <v>18</v>
      </c>
      <c r="Q25">
        <v>0</v>
      </c>
      <c r="R25">
        <v>0.36</v>
      </c>
      <c r="S25">
        <v>90</v>
      </c>
      <c r="T25">
        <v>0</v>
      </c>
      <c r="U25">
        <v>0</v>
      </c>
      <c r="V25">
        <v>0</v>
      </c>
      <c r="W25">
        <v>23</v>
      </c>
      <c r="X25">
        <v>5</v>
      </c>
      <c r="Y25">
        <v>-1</v>
      </c>
      <c r="Z25">
        <v>0</v>
      </c>
      <c r="AA25">
        <v>0</v>
      </c>
      <c r="AB25">
        <v>0</v>
      </c>
      <c r="AC25">
        <v>4</v>
      </c>
      <c r="AD25">
        <v>0</v>
      </c>
      <c r="AE25">
        <v>0</v>
      </c>
      <c r="AG25" s="1">
        <f t="shared" si="1"/>
        <v>18</v>
      </c>
      <c r="AH25" s="1">
        <f t="shared" si="1"/>
        <v>0</v>
      </c>
      <c r="AI25" s="1">
        <f t="shared" si="1"/>
        <v>0</v>
      </c>
      <c r="AJ25" s="14">
        <f t="shared" si="1"/>
        <v>0</v>
      </c>
      <c r="AK25" s="14">
        <f t="shared" si="1"/>
        <v>0</v>
      </c>
    </row>
    <row r="26" spans="2:37">
      <c r="B26">
        <v>19</v>
      </c>
      <c r="C26">
        <v>0</v>
      </c>
      <c r="D26">
        <v>7</v>
      </c>
      <c r="E26">
        <v>3</v>
      </c>
      <c r="F26">
        <v>4</v>
      </c>
      <c r="G26">
        <v>0</v>
      </c>
      <c r="H26">
        <v>0</v>
      </c>
      <c r="I26">
        <v>0</v>
      </c>
      <c r="J26">
        <v>0</v>
      </c>
      <c r="K26">
        <v>0</v>
      </c>
      <c r="L26">
        <v>2</v>
      </c>
      <c r="M26">
        <v>0</v>
      </c>
      <c r="N26">
        <v>0</v>
      </c>
      <c r="O26">
        <v>0</v>
      </c>
      <c r="P26">
        <v>16</v>
      </c>
      <c r="Q26">
        <v>0</v>
      </c>
      <c r="R26">
        <v>0</v>
      </c>
      <c r="S26">
        <v>-1</v>
      </c>
      <c r="T26">
        <v>0</v>
      </c>
      <c r="U26">
        <v>0</v>
      </c>
      <c r="V26">
        <v>0</v>
      </c>
      <c r="W26">
        <v>23</v>
      </c>
      <c r="X26">
        <v>3</v>
      </c>
      <c r="Y26">
        <v>-1</v>
      </c>
      <c r="Z26">
        <v>0</v>
      </c>
      <c r="AA26">
        <v>0</v>
      </c>
      <c r="AB26">
        <v>0</v>
      </c>
      <c r="AC26">
        <v>4</v>
      </c>
      <c r="AD26">
        <v>0</v>
      </c>
      <c r="AE26">
        <v>0</v>
      </c>
      <c r="AG26" s="1">
        <f t="shared" si="1"/>
        <v>0</v>
      </c>
      <c r="AH26" s="1">
        <f t="shared" si="1"/>
        <v>0</v>
      </c>
      <c r="AI26" s="1">
        <f t="shared" si="1"/>
        <v>16</v>
      </c>
      <c r="AJ26" s="14">
        <f t="shared" si="1"/>
        <v>0</v>
      </c>
      <c r="AK26" s="14">
        <f t="shared" si="1"/>
        <v>0</v>
      </c>
    </row>
    <row r="27" spans="2:37">
      <c r="B27">
        <v>20</v>
      </c>
      <c r="C27">
        <v>0</v>
      </c>
      <c r="D27">
        <v>3</v>
      </c>
      <c r="E27">
        <v>5</v>
      </c>
      <c r="F27">
        <v>6</v>
      </c>
      <c r="G27">
        <v>0</v>
      </c>
      <c r="H27">
        <v>0</v>
      </c>
      <c r="I27">
        <v>0</v>
      </c>
      <c r="J27">
        <v>0</v>
      </c>
      <c r="K27">
        <v>0</v>
      </c>
      <c r="L27">
        <v>2</v>
      </c>
      <c r="M27">
        <v>0</v>
      </c>
      <c r="N27">
        <v>0</v>
      </c>
      <c r="O27">
        <v>1.5</v>
      </c>
      <c r="P27">
        <v>12</v>
      </c>
      <c r="Q27">
        <v>0</v>
      </c>
      <c r="R27">
        <v>0</v>
      </c>
      <c r="S27">
        <v>-1</v>
      </c>
      <c r="T27">
        <v>0</v>
      </c>
      <c r="U27">
        <v>0</v>
      </c>
      <c r="V27">
        <v>0</v>
      </c>
      <c r="W27">
        <v>23</v>
      </c>
      <c r="X27">
        <v>2</v>
      </c>
      <c r="Y27">
        <v>-1</v>
      </c>
      <c r="Z27">
        <v>0</v>
      </c>
      <c r="AA27">
        <v>0</v>
      </c>
      <c r="AB27">
        <v>0</v>
      </c>
      <c r="AC27">
        <v>4</v>
      </c>
      <c r="AD27">
        <v>0</v>
      </c>
      <c r="AE27">
        <v>0</v>
      </c>
      <c r="AG27" s="1">
        <f t="shared" si="1"/>
        <v>0</v>
      </c>
      <c r="AH27" s="1">
        <f t="shared" si="1"/>
        <v>0</v>
      </c>
      <c r="AI27" s="1">
        <f t="shared" si="1"/>
        <v>0</v>
      </c>
      <c r="AJ27" s="14">
        <f t="shared" si="1"/>
        <v>0</v>
      </c>
      <c r="AK27" s="14">
        <f t="shared" si="1"/>
        <v>0</v>
      </c>
    </row>
    <row r="28" spans="2:37">
      <c r="B28">
        <v>21</v>
      </c>
      <c r="C28">
        <v>0</v>
      </c>
      <c r="D28">
        <v>4</v>
      </c>
      <c r="E28">
        <v>3</v>
      </c>
      <c r="F28">
        <v>6</v>
      </c>
      <c r="G28">
        <v>0</v>
      </c>
      <c r="H28">
        <v>0</v>
      </c>
      <c r="I28">
        <v>0</v>
      </c>
      <c r="J28">
        <v>0</v>
      </c>
      <c r="K28">
        <v>0</v>
      </c>
      <c r="L28">
        <v>2</v>
      </c>
      <c r="M28">
        <v>0</v>
      </c>
      <c r="N28">
        <v>0</v>
      </c>
      <c r="O28">
        <v>1.5</v>
      </c>
      <c r="P28">
        <v>12</v>
      </c>
      <c r="Q28">
        <v>0</v>
      </c>
      <c r="R28">
        <v>0</v>
      </c>
      <c r="S28">
        <v>-1</v>
      </c>
      <c r="T28">
        <v>0</v>
      </c>
      <c r="U28">
        <v>0</v>
      </c>
      <c r="V28">
        <v>0</v>
      </c>
      <c r="W28">
        <v>23</v>
      </c>
      <c r="X28">
        <v>1</v>
      </c>
      <c r="Y28">
        <v>-1</v>
      </c>
      <c r="Z28">
        <v>0</v>
      </c>
      <c r="AA28">
        <v>0</v>
      </c>
      <c r="AB28">
        <v>0</v>
      </c>
      <c r="AC28">
        <v>4</v>
      </c>
      <c r="AD28">
        <v>0</v>
      </c>
      <c r="AE28">
        <v>0</v>
      </c>
      <c r="AG28" s="1">
        <f t="shared" si="1"/>
        <v>0</v>
      </c>
      <c r="AH28" s="1">
        <f t="shared" si="1"/>
        <v>0</v>
      </c>
      <c r="AI28" s="1">
        <f t="shared" si="1"/>
        <v>0</v>
      </c>
      <c r="AJ28" s="14">
        <f t="shared" si="1"/>
        <v>0</v>
      </c>
      <c r="AK28" s="14">
        <f t="shared" si="1"/>
        <v>0</v>
      </c>
    </row>
    <row r="29" spans="2:37">
      <c r="B29">
        <v>22</v>
      </c>
      <c r="C29">
        <v>1</v>
      </c>
      <c r="D29">
        <v>-1</v>
      </c>
      <c r="E29">
        <v>4</v>
      </c>
      <c r="F29">
        <v>5</v>
      </c>
      <c r="G29">
        <v>0</v>
      </c>
      <c r="H29">
        <v>2</v>
      </c>
      <c r="I29">
        <v>0</v>
      </c>
      <c r="J29">
        <v>0</v>
      </c>
      <c r="K29">
        <v>0</v>
      </c>
      <c r="L29">
        <v>2</v>
      </c>
      <c r="M29">
        <v>0</v>
      </c>
      <c r="N29">
        <v>0</v>
      </c>
      <c r="O29">
        <v>1.5</v>
      </c>
      <c r="P29">
        <v>15</v>
      </c>
      <c r="Q29">
        <v>0</v>
      </c>
      <c r="R29">
        <v>0.36</v>
      </c>
      <c r="S29">
        <v>270</v>
      </c>
      <c r="T29">
        <v>0</v>
      </c>
      <c r="U29">
        <v>0</v>
      </c>
      <c r="V29">
        <v>0</v>
      </c>
      <c r="W29">
        <v>23</v>
      </c>
      <c r="X29">
        <v>2</v>
      </c>
      <c r="Y29">
        <v>-1</v>
      </c>
      <c r="Z29">
        <v>0</v>
      </c>
      <c r="AA29">
        <v>0</v>
      </c>
      <c r="AB29">
        <v>0</v>
      </c>
      <c r="AC29">
        <v>4</v>
      </c>
      <c r="AD29">
        <v>0</v>
      </c>
      <c r="AE29">
        <v>0</v>
      </c>
      <c r="AG29" s="1">
        <f t="shared" si="1"/>
        <v>15</v>
      </c>
      <c r="AH29" s="1">
        <f t="shared" si="1"/>
        <v>0</v>
      </c>
      <c r="AI29" s="1">
        <f t="shared" si="1"/>
        <v>0</v>
      </c>
      <c r="AJ29" s="14">
        <f t="shared" si="1"/>
        <v>0</v>
      </c>
      <c r="AK29" s="14">
        <f t="shared" si="1"/>
        <v>0</v>
      </c>
    </row>
    <row r="30" spans="2:37">
      <c r="B30">
        <v>23</v>
      </c>
      <c r="C30">
        <v>0</v>
      </c>
      <c r="D30">
        <v>4</v>
      </c>
      <c r="E30">
        <v>5</v>
      </c>
      <c r="F30">
        <v>6</v>
      </c>
      <c r="G30">
        <v>0</v>
      </c>
      <c r="H30">
        <v>0</v>
      </c>
      <c r="I30">
        <v>0</v>
      </c>
      <c r="J30">
        <v>0</v>
      </c>
      <c r="K30">
        <v>0</v>
      </c>
      <c r="L30">
        <v>2</v>
      </c>
      <c r="M30">
        <v>0</v>
      </c>
      <c r="N30">
        <v>0</v>
      </c>
      <c r="O30">
        <v>1.5</v>
      </c>
      <c r="P30">
        <v>15</v>
      </c>
      <c r="Q30">
        <v>0</v>
      </c>
      <c r="R30">
        <v>0</v>
      </c>
      <c r="S30">
        <v>-1</v>
      </c>
      <c r="T30">
        <v>0</v>
      </c>
      <c r="U30">
        <v>0</v>
      </c>
      <c r="V30">
        <v>0</v>
      </c>
      <c r="W30">
        <v>23</v>
      </c>
      <c r="X30">
        <v>2</v>
      </c>
      <c r="Y30">
        <v>-1</v>
      </c>
      <c r="Z30">
        <v>0</v>
      </c>
      <c r="AA30">
        <v>0</v>
      </c>
      <c r="AB30">
        <v>0</v>
      </c>
      <c r="AC30">
        <v>4</v>
      </c>
      <c r="AD30">
        <v>0</v>
      </c>
      <c r="AE30">
        <v>0</v>
      </c>
      <c r="AG30" s="1">
        <f t="shared" si="1"/>
        <v>0</v>
      </c>
      <c r="AH30" s="1">
        <f t="shared" si="1"/>
        <v>0</v>
      </c>
      <c r="AI30" s="1">
        <f t="shared" si="1"/>
        <v>0</v>
      </c>
      <c r="AJ30" s="14">
        <f t="shared" si="1"/>
        <v>0</v>
      </c>
      <c r="AK30" s="14">
        <f t="shared" si="1"/>
        <v>0</v>
      </c>
    </row>
    <row r="31" spans="2:37">
      <c r="B31">
        <v>24</v>
      </c>
      <c r="C31">
        <v>0</v>
      </c>
      <c r="D31">
        <v>7</v>
      </c>
      <c r="E31">
        <v>4</v>
      </c>
      <c r="F31">
        <v>4</v>
      </c>
      <c r="G31">
        <v>0</v>
      </c>
      <c r="H31">
        <v>0</v>
      </c>
      <c r="I31">
        <v>0</v>
      </c>
      <c r="J31">
        <v>0</v>
      </c>
      <c r="K31">
        <v>0</v>
      </c>
      <c r="L31">
        <v>2</v>
      </c>
      <c r="M31">
        <v>0</v>
      </c>
      <c r="N31">
        <v>0</v>
      </c>
      <c r="O31">
        <v>0</v>
      </c>
      <c r="P31">
        <v>20</v>
      </c>
      <c r="Q31">
        <v>0</v>
      </c>
      <c r="R31">
        <v>0</v>
      </c>
      <c r="S31">
        <v>-1</v>
      </c>
      <c r="T31">
        <v>0</v>
      </c>
      <c r="U31">
        <v>0</v>
      </c>
      <c r="V31">
        <v>0</v>
      </c>
      <c r="W31">
        <v>23</v>
      </c>
      <c r="X31">
        <v>3</v>
      </c>
      <c r="Y31">
        <v>-1</v>
      </c>
      <c r="Z31">
        <v>0</v>
      </c>
      <c r="AA31">
        <v>0</v>
      </c>
      <c r="AB31">
        <v>0</v>
      </c>
      <c r="AC31">
        <v>4</v>
      </c>
      <c r="AD31">
        <v>0</v>
      </c>
      <c r="AE31">
        <v>0</v>
      </c>
      <c r="AG31" s="1">
        <f t="shared" si="1"/>
        <v>0</v>
      </c>
      <c r="AH31" s="1">
        <f t="shared" si="1"/>
        <v>0</v>
      </c>
      <c r="AI31" s="1">
        <f t="shared" si="1"/>
        <v>20</v>
      </c>
      <c r="AJ31" s="14">
        <f t="shared" si="1"/>
        <v>0</v>
      </c>
      <c r="AK31" s="14">
        <f t="shared" si="1"/>
        <v>0</v>
      </c>
    </row>
    <row r="32" spans="2:37">
      <c r="B32">
        <v>25</v>
      </c>
      <c r="C32">
        <v>0</v>
      </c>
      <c r="D32">
        <v>7</v>
      </c>
      <c r="E32">
        <v>5</v>
      </c>
      <c r="F32">
        <v>4</v>
      </c>
      <c r="G32">
        <v>0</v>
      </c>
      <c r="H32">
        <v>0</v>
      </c>
      <c r="I32">
        <v>0</v>
      </c>
      <c r="J32">
        <v>0</v>
      </c>
      <c r="K32">
        <v>0</v>
      </c>
      <c r="L32">
        <v>2</v>
      </c>
      <c r="M32">
        <v>0</v>
      </c>
      <c r="N32">
        <v>0</v>
      </c>
      <c r="O32">
        <v>0</v>
      </c>
      <c r="P32">
        <v>45</v>
      </c>
      <c r="Q32">
        <v>0</v>
      </c>
      <c r="R32">
        <v>0</v>
      </c>
      <c r="S32">
        <v>-1</v>
      </c>
      <c r="T32">
        <v>0</v>
      </c>
      <c r="U32">
        <v>0</v>
      </c>
      <c r="V32">
        <v>0</v>
      </c>
      <c r="W32">
        <v>23</v>
      </c>
      <c r="X32">
        <v>3</v>
      </c>
      <c r="Y32">
        <v>-1</v>
      </c>
      <c r="Z32">
        <v>0</v>
      </c>
      <c r="AA32">
        <v>0</v>
      </c>
      <c r="AB32">
        <v>0</v>
      </c>
      <c r="AC32">
        <v>4</v>
      </c>
      <c r="AD32">
        <v>0</v>
      </c>
      <c r="AE32">
        <v>0</v>
      </c>
      <c r="AG32" s="1">
        <f t="shared" si="1"/>
        <v>0</v>
      </c>
      <c r="AH32" s="1">
        <f t="shared" si="1"/>
        <v>0</v>
      </c>
      <c r="AI32" s="1">
        <f t="shared" si="1"/>
        <v>45</v>
      </c>
      <c r="AJ32" s="14">
        <f t="shared" si="1"/>
        <v>0</v>
      </c>
      <c r="AK32" s="14">
        <f t="shared" si="1"/>
        <v>0</v>
      </c>
    </row>
    <row r="33" spans="1:37">
      <c r="B33">
        <v>26</v>
      </c>
      <c r="C33">
        <v>0</v>
      </c>
      <c r="D33">
        <v>7</v>
      </c>
      <c r="E33">
        <v>6</v>
      </c>
      <c r="F33">
        <v>4</v>
      </c>
      <c r="G33">
        <v>0</v>
      </c>
      <c r="H33">
        <v>0</v>
      </c>
      <c r="I33">
        <v>0</v>
      </c>
      <c r="J33">
        <v>0</v>
      </c>
      <c r="K33">
        <v>0</v>
      </c>
      <c r="L33">
        <v>2</v>
      </c>
      <c r="M33">
        <v>0</v>
      </c>
      <c r="N33">
        <v>0</v>
      </c>
      <c r="O33">
        <v>0</v>
      </c>
      <c r="P33">
        <v>18</v>
      </c>
      <c r="Q33">
        <v>0</v>
      </c>
      <c r="R33">
        <v>0</v>
      </c>
      <c r="S33">
        <v>-1</v>
      </c>
      <c r="T33">
        <v>0</v>
      </c>
      <c r="U33">
        <v>0</v>
      </c>
      <c r="V33">
        <v>0</v>
      </c>
      <c r="W33">
        <v>23</v>
      </c>
      <c r="X33">
        <v>3</v>
      </c>
      <c r="Y33">
        <v>-1</v>
      </c>
      <c r="Z33">
        <v>0</v>
      </c>
      <c r="AA33">
        <v>0</v>
      </c>
      <c r="AB33">
        <v>0</v>
      </c>
      <c r="AC33">
        <v>4</v>
      </c>
      <c r="AD33">
        <v>0</v>
      </c>
      <c r="AE33">
        <v>0</v>
      </c>
      <c r="AG33" s="1">
        <f t="shared" si="1"/>
        <v>0</v>
      </c>
      <c r="AH33" s="1">
        <f t="shared" si="1"/>
        <v>0</v>
      </c>
      <c r="AI33" s="1">
        <f t="shared" si="1"/>
        <v>18</v>
      </c>
      <c r="AJ33" s="14">
        <f t="shared" si="1"/>
        <v>0</v>
      </c>
      <c r="AK33" s="14">
        <f t="shared" si="1"/>
        <v>0</v>
      </c>
    </row>
    <row r="34" spans="1:37">
      <c r="B34">
        <v>27</v>
      </c>
      <c r="C34">
        <v>1</v>
      </c>
      <c r="D34">
        <v>-1</v>
      </c>
      <c r="E34">
        <v>4</v>
      </c>
      <c r="F34">
        <v>5</v>
      </c>
      <c r="G34">
        <v>0</v>
      </c>
      <c r="H34">
        <v>2</v>
      </c>
      <c r="I34">
        <v>0</v>
      </c>
      <c r="J34">
        <v>0</v>
      </c>
      <c r="K34">
        <v>0</v>
      </c>
      <c r="L34">
        <v>2</v>
      </c>
      <c r="M34">
        <v>0</v>
      </c>
      <c r="N34">
        <v>0</v>
      </c>
      <c r="O34">
        <v>1.5</v>
      </c>
      <c r="P34">
        <v>12</v>
      </c>
      <c r="Q34">
        <v>0</v>
      </c>
      <c r="R34">
        <v>0.36</v>
      </c>
      <c r="S34">
        <v>180</v>
      </c>
      <c r="T34">
        <v>0</v>
      </c>
      <c r="U34">
        <v>0</v>
      </c>
      <c r="V34">
        <v>0</v>
      </c>
      <c r="W34">
        <v>23</v>
      </c>
      <c r="X34">
        <v>1</v>
      </c>
      <c r="Y34">
        <v>-1</v>
      </c>
      <c r="Z34">
        <v>0</v>
      </c>
      <c r="AA34">
        <v>0</v>
      </c>
      <c r="AB34">
        <v>0</v>
      </c>
      <c r="AC34">
        <v>4</v>
      </c>
      <c r="AD34">
        <v>0</v>
      </c>
      <c r="AE34">
        <v>0</v>
      </c>
      <c r="AG34" s="1">
        <f t="shared" si="1"/>
        <v>12</v>
      </c>
      <c r="AH34" s="1">
        <f t="shared" si="1"/>
        <v>0</v>
      </c>
      <c r="AI34" s="1">
        <f t="shared" si="1"/>
        <v>0</v>
      </c>
      <c r="AJ34" s="14">
        <f t="shared" si="1"/>
        <v>0</v>
      </c>
      <c r="AK34" s="14">
        <f t="shared" si="1"/>
        <v>0</v>
      </c>
    </row>
    <row r="35" spans="1:37">
      <c r="B35">
        <v>28</v>
      </c>
      <c r="C35">
        <v>1</v>
      </c>
      <c r="D35">
        <v>-1</v>
      </c>
      <c r="E35">
        <v>5</v>
      </c>
      <c r="F35">
        <v>5</v>
      </c>
      <c r="G35">
        <v>0</v>
      </c>
      <c r="H35">
        <v>2</v>
      </c>
      <c r="I35">
        <v>0</v>
      </c>
      <c r="J35">
        <v>0</v>
      </c>
      <c r="K35">
        <v>0</v>
      </c>
      <c r="L35">
        <v>2</v>
      </c>
      <c r="M35">
        <v>0</v>
      </c>
      <c r="N35">
        <v>0</v>
      </c>
      <c r="O35">
        <v>1.5</v>
      </c>
      <c r="P35">
        <v>15</v>
      </c>
      <c r="Q35">
        <v>0</v>
      </c>
      <c r="R35">
        <v>0.36</v>
      </c>
      <c r="S35">
        <v>180</v>
      </c>
      <c r="T35">
        <v>0</v>
      </c>
      <c r="U35">
        <v>0</v>
      </c>
      <c r="V35">
        <v>0</v>
      </c>
      <c r="W35">
        <v>23</v>
      </c>
      <c r="X35">
        <v>1</v>
      </c>
      <c r="Y35">
        <v>-1</v>
      </c>
      <c r="Z35">
        <v>0</v>
      </c>
      <c r="AA35">
        <v>0</v>
      </c>
      <c r="AB35">
        <v>0</v>
      </c>
      <c r="AC35">
        <v>4</v>
      </c>
      <c r="AD35">
        <v>0</v>
      </c>
      <c r="AE35">
        <v>0</v>
      </c>
      <c r="AG35" s="1">
        <f t="shared" si="1"/>
        <v>15</v>
      </c>
      <c r="AH35" s="1">
        <f t="shared" si="1"/>
        <v>0</v>
      </c>
      <c r="AI35" s="1">
        <f t="shared" si="1"/>
        <v>0</v>
      </c>
      <c r="AJ35" s="14">
        <f t="shared" si="1"/>
        <v>0</v>
      </c>
      <c r="AK35" s="14">
        <f t="shared" si="1"/>
        <v>0</v>
      </c>
    </row>
    <row r="36" spans="1:37">
      <c r="B36">
        <v>29</v>
      </c>
      <c r="C36">
        <v>1</v>
      </c>
      <c r="D36">
        <v>-1</v>
      </c>
      <c r="E36">
        <v>6</v>
      </c>
      <c r="F36">
        <v>5</v>
      </c>
      <c r="G36">
        <v>0</v>
      </c>
      <c r="H36">
        <v>2</v>
      </c>
      <c r="I36">
        <v>0</v>
      </c>
      <c r="J36">
        <v>0</v>
      </c>
      <c r="K36">
        <v>0</v>
      </c>
      <c r="L36">
        <v>2</v>
      </c>
      <c r="M36">
        <v>0</v>
      </c>
      <c r="N36">
        <v>0</v>
      </c>
      <c r="O36">
        <v>1.5</v>
      </c>
      <c r="P36">
        <v>9</v>
      </c>
      <c r="Q36">
        <v>0</v>
      </c>
      <c r="R36">
        <v>0.36</v>
      </c>
      <c r="S36">
        <v>180</v>
      </c>
      <c r="T36">
        <v>0</v>
      </c>
      <c r="U36">
        <v>0</v>
      </c>
      <c r="V36">
        <v>0</v>
      </c>
      <c r="W36">
        <v>23</v>
      </c>
      <c r="X36">
        <v>1</v>
      </c>
      <c r="Y36">
        <v>-1</v>
      </c>
      <c r="Z36">
        <v>0</v>
      </c>
      <c r="AA36">
        <v>0</v>
      </c>
      <c r="AB36">
        <v>0</v>
      </c>
      <c r="AC36">
        <v>4</v>
      </c>
      <c r="AD36">
        <v>0</v>
      </c>
      <c r="AE36">
        <v>0</v>
      </c>
      <c r="AG36" s="1">
        <f t="shared" si="1"/>
        <v>9</v>
      </c>
      <c r="AH36" s="1">
        <f t="shared" si="1"/>
        <v>0</v>
      </c>
      <c r="AI36" s="1">
        <f t="shared" si="1"/>
        <v>0</v>
      </c>
      <c r="AJ36" s="14">
        <f t="shared" si="1"/>
        <v>0</v>
      </c>
      <c r="AK36" s="14">
        <f t="shared" si="1"/>
        <v>0</v>
      </c>
    </row>
    <row r="37" spans="1:37">
      <c r="B37">
        <v>30</v>
      </c>
      <c r="C37">
        <v>1</v>
      </c>
      <c r="D37">
        <v>-1</v>
      </c>
      <c r="E37">
        <v>7</v>
      </c>
      <c r="F37">
        <v>2</v>
      </c>
      <c r="G37">
        <v>0</v>
      </c>
      <c r="H37">
        <v>2</v>
      </c>
      <c r="I37">
        <v>0</v>
      </c>
      <c r="J37">
        <v>0</v>
      </c>
      <c r="K37">
        <v>0</v>
      </c>
      <c r="L37">
        <v>1</v>
      </c>
      <c r="M37">
        <v>0</v>
      </c>
      <c r="N37">
        <v>0</v>
      </c>
      <c r="O37">
        <v>0.3</v>
      </c>
      <c r="P37">
        <v>27</v>
      </c>
      <c r="Q37">
        <v>0</v>
      </c>
      <c r="R37">
        <v>0.36</v>
      </c>
      <c r="S37">
        <v>0</v>
      </c>
      <c r="T37">
        <v>0</v>
      </c>
      <c r="U37">
        <v>0</v>
      </c>
      <c r="V37">
        <v>0</v>
      </c>
      <c r="W37">
        <v>23</v>
      </c>
      <c r="X37">
        <v>4</v>
      </c>
      <c r="Y37">
        <v>-1</v>
      </c>
      <c r="Z37">
        <v>0</v>
      </c>
      <c r="AA37">
        <v>0</v>
      </c>
      <c r="AB37">
        <v>0</v>
      </c>
      <c r="AC37">
        <v>4</v>
      </c>
      <c r="AD37">
        <v>0</v>
      </c>
      <c r="AE37">
        <v>0</v>
      </c>
      <c r="AG37" s="1">
        <f t="shared" si="1"/>
        <v>0</v>
      </c>
      <c r="AH37" s="1">
        <f t="shared" si="1"/>
        <v>0</v>
      </c>
      <c r="AI37" s="1">
        <f t="shared" si="1"/>
        <v>0</v>
      </c>
      <c r="AJ37" s="14">
        <f t="shared" si="1"/>
        <v>0</v>
      </c>
      <c r="AK37" s="14">
        <f t="shared" si="1"/>
        <v>27</v>
      </c>
    </row>
    <row r="38" spans="1:37">
      <c r="B38">
        <v>31</v>
      </c>
      <c r="C38">
        <v>1</v>
      </c>
      <c r="D38">
        <v>-1</v>
      </c>
      <c r="E38">
        <v>7</v>
      </c>
      <c r="F38">
        <v>2</v>
      </c>
      <c r="G38">
        <v>0</v>
      </c>
      <c r="H38">
        <v>2</v>
      </c>
      <c r="I38">
        <v>0</v>
      </c>
      <c r="J38">
        <v>0</v>
      </c>
      <c r="K38">
        <v>0</v>
      </c>
      <c r="L38">
        <v>1</v>
      </c>
      <c r="M38">
        <v>0</v>
      </c>
      <c r="N38">
        <v>0</v>
      </c>
      <c r="O38">
        <v>0.3</v>
      </c>
      <c r="P38">
        <v>27</v>
      </c>
      <c r="Q38">
        <v>0</v>
      </c>
      <c r="R38">
        <v>0.36</v>
      </c>
      <c r="S38">
        <v>270</v>
      </c>
      <c r="T38">
        <v>0</v>
      </c>
      <c r="U38">
        <v>0</v>
      </c>
      <c r="V38">
        <v>0</v>
      </c>
      <c r="W38">
        <v>23</v>
      </c>
      <c r="X38">
        <v>2</v>
      </c>
      <c r="Y38">
        <v>-1</v>
      </c>
      <c r="Z38">
        <v>0</v>
      </c>
      <c r="AA38">
        <v>0</v>
      </c>
      <c r="AB38">
        <v>0</v>
      </c>
      <c r="AC38">
        <v>4</v>
      </c>
      <c r="AD38">
        <v>0</v>
      </c>
      <c r="AE38">
        <v>0</v>
      </c>
      <c r="AG38" s="1">
        <f t="shared" si="1"/>
        <v>0</v>
      </c>
      <c r="AH38" s="1">
        <f t="shared" si="1"/>
        <v>0</v>
      </c>
      <c r="AI38" s="1">
        <f t="shared" si="1"/>
        <v>0</v>
      </c>
      <c r="AJ38" s="14">
        <f t="shared" si="1"/>
        <v>0</v>
      </c>
      <c r="AK38" s="14">
        <f t="shared" si="1"/>
        <v>27</v>
      </c>
    </row>
    <row r="39" spans="1:37">
      <c r="B39">
        <v>32</v>
      </c>
      <c r="C39">
        <v>1</v>
      </c>
      <c r="D39">
        <v>-1</v>
      </c>
      <c r="E39">
        <v>7</v>
      </c>
      <c r="F39">
        <v>2</v>
      </c>
      <c r="G39">
        <v>0</v>
      </c>
      <c r="H39">
        <v>2</v>
      </c>
      <c r="I39">
        <v>0</v>
      </c>
      <c r="J39">
        <v>0</v>
      </c>
      <c r="K39">
        <v>0</v>
      </c>
      <c r="L39">
        <v>1</v>
      </c>
      <c r="M39">
        <v>0</v>
      </c>
      <c r="N39">
        <v>0</v>
      </c>
      <c r="O39">
        <v>0.3</v>
      </c>
      <c r="P39">
        <v>27</v>
      </c>
      <c r="Q39">
        <v>0</v>
      </c>
      <c r="R39">
        <v>0.36</v>
      </c>
      <c r="S39">
        <v>90</v>
      </c>
      <c r="T39">
        <v>0</v>
      </c>
      <c r="U39">
        <v>0</v>
      </c>
      <c r="V39">
        <v>0</v>
      </c>
      <c r="W39">
        <v>23</v>
      </c>
      <c r="X39">
        <v>5</v>
      </c>
      <c r="Y39">
        <v>-1</v>
      </c>
      <c r="Z39">
        <v>0</v>
      </c>
      <c r="AA39">
        <v>0</v>
      </c>
      <c r="AB39">
        <v>0</v>
      </c>
      <c r="AC39">
        <v>4</v>
      </c>
      <c r="AD39">
        <v>0</v>
      </c>
      <c r="AE39">
        <v>0</v>
      </c>
      <c r="AG39" s="1">
        <f t="shared" si="1"/>
        <v>0</v>
      </c>
      <c r="AH39" s="1">
        <f t="shared" si="1"/>
        <v>0</v>
      </c>
      <c r="AI39" s="1">
        <f t="shared" si="1"/>
        <v>0</v>
      </c>
      <c r="AJ39" s="14">
        <f t="shared" si="1"/>
        <v>0</v>
      </c>
      <c r="AK39" s="14">
        <f t="shared" si="1"/>
        <v>27</v>
      </c>
    </row>
    <row r="40" spans="1:37">
      <c r="B40">
        <v>33</v>
      </c>
      <c r="C40">
        <v>1</v>
      </c>
      <c r="D40">
        <v>-1</v>
      </c>
      <c r="E40">
        <v>7</v>
      </c>
      <c r="F40">
        <v>2</v>
      </c>
      <c r="G40">
        <v>0</v>
      </c>
      <c r="H40">
        <v>2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0.3</v>
      </c>
      <c r="P40">
        <v>27</v>
      </c>
      <c r="Q40">
        <v>0</v>
      </c>
      <c r="R40">
        <v>0.36</v>
      </c>
      <c r="S40">
        <v>180</v>
      </c>
      <c r="T40">
        <v>0</v>
      </c>
      <c r="U40">
        <v>0</v>
      </c>
      <c r="V40">
        <v>0</v>
      </c>
      <c r="W40">
        <v>23</v>
      </c>
      <c r="X40">
        <v>1</v>
      </c>
      <c r="Y40">
        <v>-1</v>
      </c>
      <c r="Z40">
        <v>0</v>
      </c>
      <c r="AA40">
        <v>0</v>
      </c>
      <c r="AB40">
        <v>0</v>
      </c>
      <c r="AC40">
        <v>4</v>
      </c>
      <c r="AD40">
        <v>0</v>
      </c>
      <c r="AE40">
        <v>0</v>
      </c>
      <c r="AG40" s="1">
        <f t="shared" si="1"/>
        <v>0</v>
      </c>
      <c r="AH40" s="1">
        <f t="shared" si="1"/>
        <v>0</v>
      </c>
      <c r="AI40" s="1">
        <f t="shared" si="1"/>
        <v>0</v>
      </c>
      <c r="AJ40" s="14">
        <f t="shared" si="1"/>
        <v>0</v>
      </c>
      <c r="AK40" s="14">
        <f t="shared" si="1"/>
        <v>27</v>
      </c>
    </row>
    <row r="41" spans="1:37">
      <c r="A41">
        <v>-999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3F50D-7459-4E7D-909A-FE8E4B1B50AF}">
  <dimension ref="A1:L36"/>
  <sheetViews>
    <sheetView tabSelected="1" workbookViewId="0">
      <selection activeCell="H12" sqref="H12"/>
    </sheetView>
  </sheetViews>
  <sheetFormatPr defaultRowHeight="15"/>
  <cols>
    <col min="1" max="1" width="13.85546875" customWidth="1"/>
    <col min="7" max="7" width="7.5703125" bestFit="1" customWidth="1"/>
    <col min="8" max="8" width="14.28515625" bestFit="1" customWidth="1"/>
    <col min="9" max="9" width="13.7109375" customWidth="1"/>
    <col min="11" max="11" width="9.5703125" bestFit="1" customWidth="1"/>
  </cols>
  <sheetData>
    <row r="1" spans="1:10">
      <c r="A1" s="128" t="s">
        <v>235</v>
      </c>
    </row>
    <row r="3" spans="1:10">
      <c r="A3" s="128" t="s">
        <v>200</v>
      </c>
      <c r="G3" s="140" t="s">
        <v>201</v>
      </c>
      <c r="H3" s="141"/>
      <c r="I3" s="142"/>
    </row>
    <row r="4" spans="1:10">
      <c r="A4">
        <v>4</v>
      </c>
      <c r="B4" t="s">
        <v>202</v>
      </c>
      <c r="G4" s="56" t="s">
        <v>203</v>
      </c>
      <c r="H4" s="73">
        <f>A13</f>
        <v>952</v>
      </c>
      <c r="I4" s="58" t="str">
        <f>CONCATENATE("m3/h @ ",TEXT($A$4,"##")," Pa")</f>
        <v>m3/h @ 4 Pa</v>
      </c>
    </row>
    <row r="5" spans="1:10">
      <c r="A5">
        <v>1.6E-2</v>
      </c>
      <c r="B5" t="s">
        <v>204</v>
      </c>
      <c r="G5" s="56"/>
      <c r="H5" s="59">
        <f>H4/3600</f>
        <v>0.26444444444444443</v>
      </c>
      <c r="I5" s="58" t="str">
        <f>CONCATENATE("m3/s @ ",TEXT($A$4,"##")," Pa")</f>
        <v>m3/s @ 4 Pa</v>
      </c>
    </row>
    <row r="6" spans="1:10">
      <c r="G6" s="56"/>
      <c r="H6" s="57">
        <f>Qr*Conversions!$F$9</f>
        <v>560.25199999999995</v>
      </c>
      <c r="I6" s="58" t="str">
        <f>CONCATENATE("cfm @ ",TEXT($A$4,"##")," Pa")</f>
        <v>cfm @ 4 Pa</v>
      </c>
    </row>
    <row r="7" spans="1:10">
      <c r="A7" t="s">
        <v>205</v>
      </c>
      <c r="G7" s="56" t="s">
        <v>206</v>
      </c>
      <c r="H7" s="60">
        <f>A4</f>
        <v>4</v>
      </c>
      <c r="I7" s="61"/>
    </row>
    <row r="8" spans="1:10">
      <c r="A8">
        <v>0.31840000000000002</v>
      </c>
      <c r="B8" t="s">
        <v>207</v>
      </c>
      <c r="G8" s="56" t="s">
        <v>208</v>
      </c>
      <c r="H8" s="62">
        <v>0.65</v>
      </c>
      <c r="I8" s="61"/>
    </row>
    <row r="9" spans="1:10">
      <c r="A9">
        <v>1146</v>
      </c>
      <c r="B9" t="s">
        <v>209</v>
      </c>
      <c r="G9" s="56" t="s">
        <v>210</v>
      </c>
      <c r="H9" s="7">
        <v>1</v>
      </c>
      <c r="I9" s="61"/>
    </row>
    <row r="10" spans="1:10">
      <c r="A10">
        <v>560.29999999999995</v>
      </c>
      <c r="B10" t="s">
        <v>211</v>
      </c>
      <c r="G10" s="56" t="s">
        <v>212</v>
      </c>
      <c r="H10" s="60">
        <f>Qr/(dPr^n)</f>
        <v>0.10739781685154669</v>
      </c>
      <c r="I10" s="61"/>
    </row>
    <row r="11" spans="1:10">
      <c r="A11" t="s">
        <v>213</v>
      </c>
      <c r="G11" s="63" t="s">
        <v>214</v>
      </c>
      <c r="H11" s="6">
        <f>A24</f>
        <v>1.2040999999999999</v>
      </c>
      <c r="I11" s="61" t="s">
        <v>215</v>
      </c>
    </row>
    <row r="12" spans="1:10">
      <c r="A12">
        <v>264.39999999999998</v>
      </c>
      <c r="B12" t="s">
        <v>216</v>
      </c>
      <c r="G12" s="64" t="s">
        <v>17</v>
      </c>
      <c r="H12" s="123">
        <f>Qr/(dPr^n*Cd_r)*SQRT(rho/2)*4^(n-0.5)</f>
        <v>0.10259370934677654</v>
      </c>
      <c r="I12" s="58" t="s">
        <v>12</v>
      </c>
    </row>
    <row r="13" spans="1:10">
      <c r="A13">
        <v>952</v>
      </c>
      <c r="B13" t="s">
        <v>217</v>
      </c>
      <c r="G13" s="64"/>
      <c r="H13" s="125">
        <f>Ar*10000</f>
        <v>1025.9370934677654</v>
      </c>
      <c r="I13" s="58" t="s">
        <v>218</v>
      </c>
      <c r="J13" s="131">
        <f>(H13-Leakage!K8)/Leakage!K8</f>
        <v>-6.1312409585372615E-5</v>
      </c>
    </row>
    <row r="14" spans="1:10">
      <c r="A14">
        <v>560.29999999999995</v>
      </c>
      <c r="B14" t="s">
        <v>219</v>
      </c>
      <c r="G14" s="65"/>
      <c r="H14" s="66">
        <f>Conversions!$G$25</f>
        <v>10.763910416709722</v>
      </c>
      <c r="I14" s="67" t="s">
        <v>174</v>
      </c>
    </row>
    <row r="16" spans="1:10">
      <c r="A16" t="s">
        <v>220</v>
      </c>
      <c r="H16" s="7">
        <f>Leakage!I8</f>
        <v>342</v>
      </c>
      <c r="I16" s="68" t="s">
        <v>12</v>
      </c>
    </row>
    <row r="17" spans="1:12">
      <c r="A17" t="s">
        <v>221</v>
      </c>
      <c r="H17" s="126">
        <f>H13/H16</f>
        <v>2.9998160627712438</v>
      </c>
      <c r="I17" s="68" t="s">
        <v>222</v>
      </c>
      <c r="K17" s="127"/>
    </row>
    <row r="18" spans="1:12">
      <c r="A18">
        <v>101325</v>
      </c>
      <c r="B18" t="s">
        <v>202</v>
      </c>
      <c r="H18" s="125">
        <f>H17*H16</f>
        <v>1025.9370934677654</v>
      </c>
      <c r="I18" s="68" t="s">
        <v>218</v>
      </c>
      <c r="K18" s="12"/>
      <c r="L18" s="74"/>
    </row>
    <row r="19" spans="1:12">
      <c r="A19">
        <v>29.920999999999999</v>
      </c>
      <c r="B19" t="s">
        <v>204</v>
      </c>
    </row>
    <row r="20" spans="1:12">
      <c r="A20" t="s">
        <v>223</v>
      </c>
    </row>
    <row r="21" spans="1:12">
      <c r="A21">
        <v>20</v>
      </c>
      <c r="B21" t="s">
        <v>224</v>
      </c>
    </row>
    <row r="22" spans="1:12">
      <c r="A22">
        <v>68</v>
      </c>
      <c r="B22" t="s">
        <v>225</v>
      </c>
    </row>
    <row r="23" spans="1:12">
      <c r="A23" t="s">
        <v>226</v>
      </c>
    </row>
    <row r="24" spans="1:12">
      <c r="A24">
        <v>1.2040999999999999</v>
      </c>
      <c r="B24" t="s">
        <v>227</v>
      </c>
    </row>
    <row r="25" spans="1:12">
      <c r="A25">
        <v>7.5170000000000001E-2</v>
      </c>
      <c r="B25" t="s">
        <v>228</v>
      </c>
    </row>
    <row r="27" spans="1:12">
      <c r="A27" t="s">
        <v>229</v>
      </c>
    </row>
    <row r="28" spans="1:12">
      <c r="A28" t="s">
        <v>230</v>
      </c>
    </row>
    <row r="29" spans="1:12">
      <c r="A29" s="70">
        <v>324</v>
      </c>
      <c r="B29" t="s">
        <v>231</v>
      </c>
      <c r="C29" s="69"/>
    </row>
    <row r="30" spans="1:12">
      <c r="A30">
        <v>11442</v>
      </c>
      <c r="B30" t="s">
        <v>232</v>
      </c>
    </row>
    <row r="31" spans="1:12">
      <c r="A31" t="s">
        <v>233</v>
      </c>
    </row>
    <row r="32" spans="1:12">
      <c r="A32">
        <v>0</v>
      </c>
      <c r="B32" t="s">
        <v>231</v>
      </c>
    </row>
    <row r="33" spans="1:2">
      <c r="A33">
        <v>0</v>
      </c>
      <c r="B33" t="s">
        <v>232</v>
      </c>
    </row>
    <row r="34" spans="1:2">
      <c r="A34" t="s">
        <v>234</v>
      </c>
    </row>
    <row r="35" spans="1:2">
      <c r="A35">
        <v>154.80000000000001</v>
      </c>
      <c r="B35" t="s">
        <v>231</v>
      </c>
    </row>
    <row r="36" spans="1:2">
      <c r="A36">
        <v>5466.7</v>
      </c>
      <c r="B36" t="s">
        <v>232</v>
      </c>
    </row>
  </sheetData>
  <mergeCells count="1">
    <mergeCell ref="G3:I3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FC9C4-FEE5-4325-9D1E-8B52FDFC654C}">
  <dimension ref="A1:L36"/>
  <sheetViews>
    <sheetView workbookViewId="0">
      <selection activeCell="A2" sqref="A2"/>
    </sheetView>
  </sheetViews>
  <sheetFormatPr defaultRowHeight="15"/>
  <cols>
    <col min="1" max="1" width="13.85546875" customWidth="1"/>
    <col min="7" max="7" width="7.5703125" bestFit="1" customWidth="1"/>
    <col min="8" max="8" width="14.28515625" bestFit="1" customWidth="1"/>
    <col min="9" max="9" width="13.7109375" customWidth="1"/>
    <col min="11" max="11" width="9.5703125" bestFit="1" customWidth="1"/>
  </cols>
  <sheetData>
    <row r="1" spans="1:10">
      <c r="A1" s="128" t="s">
        <v>276</v>
      </c>
    </row>
    <row r="3" spans="1:10">
      <c r="A3" s="128" t="s">
        <v>200</v>
      </c>
      <c r="G3" s="140" t="s">
        <v>201</v>
      </c>
      <c r="H3" s="141"/>
      <c r="I3" s="142"/>
    </row>
    <row r="4" spans="1:10">
      <c r="A4">
        <v>4</v>
      </c>
      <c r="B4" t="s">
        <v>202</v>
      </c>
      <c r="G4" s="56" t="s">
        <v>203</v>
      </c>
      <c r="H4" s="73">
        <f>A13</f>
        <v>948.1</v>
      </c>
      <c r="I4" s="58" t="str">
        <f>CONCATENATE("m3/h @ ",TEXT($A$4,"##")," Pa")</f>
        <v>m3/h @ 4 Pa</v>
      </c>
    </row>
    <row r="5" spans="1:10">
      <c r="A5">
        <v>1.6E-2</v>
      </c>
      <c r="B5" t="s">
        <v>204</v>
      </c>
      <c r="G5" s="56"/>
      <c r="H5" s="59">
        <f>H4/3600</f>
        <v>0.2633611111111111</v>
      </c>
      <c r="I5" s="58" t="str">
        <f>CONCATENATE("m3/s @ ",TEXT($A$4,"##")," Pa")</f>
        <v>m3/s @ 4 Pa</v>
      </c>
    </row>
    <row r="6" spans="1:10">
      <c r="G6" s="56"/>
      <c r="H6" s="57">
        <f>Qr*Conversions!$F$9</f>
        <v>557.95684999999992</v>
      </c>
      <c r="I6" s="58" t="str">
        <f>CONCATENATE("cfm @ ",TEXT($A$4,"##")," Pa")</f>
        <v>cfm @ 4 Pa</v>
      </c>
    </row>
    <row r="7" spans="1:10">
      <c r="A7" t="s">
        <v>205</v>
      </c>
      <c r="G7" s="56" t="s">
        <v>206</v>
      </c>
      <c r="H7" s="60">
        <f>A4</f>
        <v>4</v>
      </c>
      <c r="I7" s="61"/>
    </row>
    <row r="8" spans="1:10">
      <c r="A8">
        <v>0.31709999999999999</v>
      </c>
      <c r="B8" t="s">
        <v>207</v>
      </c>
      <c r="G8" s="56" t="s">
        <v>208</v>
      </c>
      <c r="H8" s="62">
        <v>0.65</v>
      </c>
      <c r="I8" s="61"/>
    </row>
    <row r="9" spans="1:10">
      <c r="A9">
        <v>1142</v>
      </c>
      <c r="B9" t="s">
        <v>209</v>
      </c>
      <c r="G9" s="56" t="s">
        <v>210</v>
      </c>
      <c r="H9" s="7">
        <v>1</v>
      </c>
      <c r="I9" s="61"/>
    </row>
    <row r="10" spans="1:10">
      <c r="A10">
        <v>558</v>
      </c>
      <c r="B10" t="s">
        <v>211</v>
      </c>
      <c r="G10" s="56" t="s">
        <v>212</v>
      </c>
      <c r="H10" s="60">
        <f>Qr/(dPr^n)</f>
        <v>0.1069578468035204</v>
      </c>
      <c r="I10" s="61"/>
    </row>
    <row r="11" spans="1:10">
      <c r="A11" t="s">
        <v>213</v>
      </c>
      <c r="G11" s="63" t="s">
        <v>214</v>
      </c>
      <c r="H11" s="6">
        <f>A24</f>
        <v>1.2040999999999999</v>
      </c>
      <c r="I11" s="61" t="s">
        <v>215</v>
      </c>
    </row>
    <row r="12" spans="1:10">
      <c r="A12">
        <v>263.39999999999998</v>
      </c>
      <c r="B12" t="s">
        <v>216</v>
      </c>
      <c r="G12" s="64" t="s">
        <v>17</v>
      </c>
      <c r="H12" s="123">
        <f>Qr/(dPr^n*Cd_r)*SQRT(rho/2)*4^(n-0.5)</f>
        <v>0.10217341999125928</v>
      </c>
      <c r="I12" s="58" t="s">
        <v>12</v>
      </c>
    </row>
    <row r="13" spans="1:10">
      <c r="A13">
        <v>948.1</v>
      </c>
      <c r="B13" t="s">
        <v>217</v>
      </c>
      <c r="G13" s="64"/>
      <c r="H13" s="125">
        <f>Ar*10000</f>
        <v>1021.7341999125929</v>
      </c>
      <c r="I13" s="58" t="s">
        <v>218</v>
      </c>
      <c r="J13" s="131">
        <f>(H13-Leakage!K8)/Leakage!K8</f>
        <v>-4.1576998902603463E-3</v>
      </c>
    </row>
    <row r="14" spans="1:10">
      <c r="A14">
        <v>558</v>
      </c>
      <c r="B14" t="s">
        <v>219</v>
      </c>
      <c r="G14" s="65"/>
      <c r="H14" s="66">
        <f>Conversions!$G$25</f>
        <v>10.763910416709722</v>
      </c>
      <c r="I14" s="67" t="s">
        <v>174</v>
      </c>
    </row>
    <row r="16" spans="1:10">
      <c r="A16" t="s">
        <v>220</v>
      </c>
      <c r="H16" s="7">
        <f>Leakage!I8</f>
        <v>342</v>
      </c>
      <c r="I16" s="68" t="s">
        <v>12</v>
      </c>
    </row>
    <row r="17" spans="1:12">
      <c r="A17" t="s">
        <v>221</v>
      </c>
      <c r="H17" s="126">
        <f>H13/H16</f>
        <v>2.9875269003292191</v>
      </c>
      <c r="I17" s="68" t="s">
        <v>222</v>
      </c>
      <c r="K17" s="127"/>
    </row>
    <row r="18" spans="1:12">
      <c r="A18">
        <v>101325</v>
      </c>
      <c r="B18" t="s">
        <v>202</v>
      </c>
      <c r="H18" s="125">
        <f>H17*H16</f>
        <v>1021.7341999125929</v>
      </c>
      <c r="I18" s="68" t="s">
        <v>218</v>
      </c>
      <c r="K18" s="12"/>
      <c r="L18" s="74"/>
    </row>
    <row r="19" spans="1:12">
      <c r="A19">
        <v>29.920999999999999</v>
      </c>
      <c r="B19" t="s">
        <v>204</v>
      </c>
    </row>
    <row r="20" spans="1:12">
      <c r="A20" t="s">
        <v>223</v>
      </c>
    </row>
    <row r="21" spans="1:12">
      <c r="A21">
        <v>20</v>
      </c>
      <c r="B21" t="s">
        <v>224</v>
      </c>
    </row>
    <row r="22" spans="1:12">
      <c r="A22">
        <v>68</v>
      </c>
      <c r="B22" t="s">
        <v>225</v>
      </c>
    </row>
    <row r="23" spans="1:12">
      <c r="A23" t="s">
        <v>226</v>
      </c>
    </row>
    <row r="24" spans="1:12">
      <c r="A24">
        <v>1.2040999999999999</v>
      </c>
      <c r="B24" t="s">
        <v>227</v>
      </c>
    </row>
    <row r="25" spans="1:12">
      <c r="A25">
        <v>7.5170000000000001E-2</v>
      </c>
      <c r="B25" t="s">
        <v>228</v>
      </c>
    </row>
    <row r="27" spans="1:12">
      <c r="A27" t="s">
        <v>229</v>
      </c>
    </row>
    <row r="28" spans="1:12">
      <c r="A28" t="s">
        <v>230</v>
      </c>
    </row>
    <row r="29" spans="1:12">
      <c r="A29" s="70">
        <v>324</v>
      </c>
      <c r="B29" t="s">
        <v>231</v>
      </c>
      <c r="C29" s="69"/>
    </row>
    <row r="30" spans="1:12">
      <c r="A30">
        <v>11442</v>
      </c>
      <c r="B30" t="s">
        <v>232</v>
      </c>
    </row>
    <row r="31" spans="1:12">
      <c r="A31" t="s">
        <v>233</v>
      </c>
    </row>
    <row r="32" spans="1:12">
      <c r="A32">
        <v>0</v>
      </c>
      <c r="B32" t="s">
        <v>231</v>
      </c>
    </row>
    <row r="33" spans="1:2">
      <c r="A33">
        <v>0</v>
      </c>
      <c r="B33" t="s">
        <v>232</v>
      </c>
    </row>
    <row r="34" spans="1:2">
      <c r="A34" t="s">
        <v>234</v>
      </c>
    </row>
    <row r="35" spans="1:2">
      <c r="A35">
        <v>154.80000000000001</v>
      </c>
      <c r="B35" t="s">
        <v>231</v>
      </c>
    </row>
    <row r="36" spans="1:2">
      <c r="A36">
        <v>5466.7</v>
      </c>
      <c r="B36" t="s">
        <v>232</v>
      </c>
    </row>
  </sheetData>
  <mergeCells count="1">
    <mergeCell ref="G3:I3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E370E-AF51-4F08-901F-10002A6E0E82}">
  <dimension ref="A1:L36"/>
  <sheetViews>
    <sheetView workbookViewId="0">
      <selection activeCell="H17" sqref="H17"/>
    </sheetView>
  </sheetViews>
  <sheetFormatPr defaultRowHeight="15"/>
  <cols>
    <col min="1" max="1" width="13.85546875" customWidth="1"/>
    <col min="7" max="7" width="7.5703125" bestFit="1" customWidth="1"/>
    <col min="8" max="8" width="14.28515625" bestFit="1" customWidth="1"/>
    <col min="9" max="9" width="13.7109375" customWidth="1"/>
    <col min="11" max="11" width="9.5703125" bestFit="1" customWidth="1"/>
  </cols>
  <sheetData>
    <row r="1" spans="1:11">
      <c r="A1" s="128" t="s">
        <v>272</v>
      </c>
    </row>
    <row r="3" spans="1:11">
      <c r="A3" s="128" t="s">
        <v>200</v>
      </c>
      <c r="G3" s="140" t="s">
        <v>201</v>
      </c>
      <c r="H3" s="141"/>
      <c r="I3" s="142"/>
    </row>
    <row r="4" spans="1:11">
      <c r="A4">
        <v>50</v>
      </c>
      <c r="B4" t="s">
        <v>202</v>
      </c>
      <c r="G4" s="56" t="s">
        <v>203</v>
      </c>
      <c r="H4" s="73">
        <f>A13</f>
        <v>4917</v>
      </c>
      <c r="I4" s="58" t="str">
        <f>CONCATENATE("m3/h @ ",TEXT($A$4,"##")," Pa")</f>
        <v>m3/h @ 50 Pa</v>
      </c>
    </row>
    <row r="5" spans="1:11">
      <c r="A5">
        <v>0.20100000000000001</v>
      </c>
      <c r="B5" t="s">
        <v>204</v>
      </c>
      <c r="G5" s="56"/>
      <c r="H5" s="59">
        <f>H4/3600</f>
        <v>1.3658333333333332</v>
      </c>
      <c r="I5" s="58" t="str">
        <f>CONCATENATE("m3/s @ ",TEXT($A$4,"##")," Pa")</f>
        <v>m3/s @ 50 Pa</v>
      </c>
    </row>
    <row r="6" spans="1:11">
      <c r="G6" s="56"/>
      <c r="H6" s="57">
        <f>Qr*Conversions!$F$9</f>
        <v>2893.6544999999996</v>
      </c>
      <c r="I6" s="58" t="str">
        <f>CONCATENATE("cfm @ ",TEXT($A$4,"##")," Pa")</f>
        <v>cfm @ 50 Pa</v>
      </c>
    </row>
    <row r="7" spans="1:11">
      <c r="A7" t="s">
        <v>205</v>
      </c>
      <c r="G7" s="56" t="s">
        <v>206</v>
      </c>
      <c r="H7" s="60">
        <f>A4</f>
        <v>50</v>
      </c>
      <c r="I7" s="61"/>
    </row>
    <row r="8" spans="1:11">
      <c r="A8">
        <v>1.6439999999999999</v>
      </c>
      <c r="B8" t="s">
        <v>207</v>
      </c>
      <c r="G8" s="56" t="s">
        <v>208</v>
      </c>
      <c r="H8" s="62">
        <v>0.65</v>
      </c>
      <c r="I8" s="61"/>
    </row>
    <row r="9" spans="1:11">
      <c r="A9">
        <v>5920</v>
      </c>
      <c r="B9" t="s">
        <v>209</v>
      </c>
      <c r="G9" s="56" t="s">
        <v>210</v>
      </c>
      <c r="H9" s="7">
        <v>1</v>
      </c>
      <c r="I9" s="61"/>
    </row>
    <row r="10" spans="1:11">
      <c r="A10">
        <v>2894</v>
      </c>
      <c r="B10" t="s">
        <v>211</v>
      </c>
      <c r="G10" s="56" t="s">
        <v>212</v>
      </c>
      <c r="H10" s="60">
        <f>Qr/(dPr^n)</f>
        <v>0.10741556192097572</v>
      </c>
      <c r="I10" s="61"/>
    </row>
    <row r="11" spans="1:11">
      <c r="A11" t="s">
        <v>213</v>
      </c>
      <c r="G11" s="63" t="s">
        <v>214</v>
      </c>
      <c r="H11" s="6">
        <f>A24</f>
        <v>1.2040999999999999</v>
      </c>
      <c r="I11" s="61" t="s">
        <v>215</v>
      </c>
    </row>
    <row r="12" spans="1:11">
      <c r="A12">
        <v>1366</v>
      </c>
      <c r="B12" t="s">
        <v>216</v>
      </c>
      <c r="G12" s="64" t="s">
        <v>17</v>
      </c>
      <c r="H12" s="123">
        <f>Qr/(dPr^n*Cd_r)*SQRT(rho/2)*4^(n-0.5)</f>
        <v>0.10261066064568289</v>
      </c>
      <c r="I12" s="58" t="s">
        <v>12</v>
      </c>
    </row>
    <row r="13" spans="1:11">
      <c r="A13">
        <v>4917</v>
      </c>
      <c r="B13" t="s">
        <v>217</v>
      </c>
      <c r="G13" s="64"/>
      <c r="H13" s="125">
        <f>Ar*10000</f>
        <v>1026.1066064568288</v>
      </c>
      <c r="I13" s="58" t="s">
        <v>218</v>
      </c>
      <c r="J13" s="131">
        <f>(H13-Leakage!K8)/Leakage!K8</f>
        <v>1.0390492868302696E-4</v>
      </c>
    </row>
    <row r="14" spans="1:11">
      <c r="A14">
        <v>2894</v>
      </c>
      <c r="B14" t="s">
        <v>219</v>
      </c>
      <c r="G14" s="65"/>
      <c r="H14" s="66">
        <f>Conversions!$G$25</f>
        <v>10.763910416709722</v>
      </c>
      <c r="I14" s="67" t="s">
        <v>174</v>
      </c>
    </row>
    <row r="16" spans="1:11">
      <c r="A16" t="s">
        <v>220</v>
      </c>
      <c r="H16" s="7">
        <f>Leakage!I8</f>
        <v>342</v>
      </c>
      <c r="I16" s="68" t="s">
        <v>12</v>
      </c>
      <c r="K16" t="s">
        <v>236</v>
      </c>
    </row>
    <row r="17" spans="1:12">
      <c r="A17" t="s">
        <v>221</v>
      </c>
      <c r="H17" s="126">
        <f>H13/H16</f>
        <v>3.000311714786049</v>
      </c>
      <c r="I17" s="68" t="s">
        <v>222</v>
      </c>
      <c r="K17" s="127">
        <v>2.9875269003292191</v>
      </c>
    </row>
    <row r="18" spans="1:12">
      <c r="A18">
        <v>101325</v>
      </c>
      <c r="B18" t="s">
        <v>202</v>
      </c>
      <c r="H18" s="125">
        <f>H17*H16</f>
        <v>1026.1066064568288</v>
      </c>
      <c r="I18" s="68" t="s">
        <v>218</v>
      </c>
      <c r="K18" s="12">
        <f>K17*H16</f>
        <v>1021.7341999125929</v>
      </c>
      <c r="L18" s="74">
        <f>(K18-Leakage!K8)/Leakage!K8</f>
        <v>-4.1576998902603463E-3</v>
      </c>
    </row>
    <row r="19" spans="1:12">
      <c r="A19">
        <v>29.920999999999999</v>
      </c>
      <c r="B19" t="s">
        <v>204</v>
      </c>
    </row>
    <row r="20" spans="1:12">
      <c r="A20" t="s">
        <v>223</v>
      </c>
      <c r="G20" s="130" t="s">
        <v>274</v>
      </c>
      <c r="H20" s="1">
        <f>A13/Leakage!B8</f>
        <v>15.175925925925926</v>
      </c>
      <c r="I20" s="129" t="s">
        <v>273</v>
      </c>
    </row>
    <row r="21" spans="1:12">
      <c r="A21">
        <v>20</v>
      </c>
      <c r="B21" t="s">
        <v>224</v>
      </c>
    </row>
    <row r="22" spans="1:12">
      <c r="A22">
        <v>68</v>
      </c>
      <c r="B22" t="s">
        <v>225</v>
      </c>
    </row>
    <row r="23" spans="1:12">
      <c r="A23" t="s">
        <v>226</v>
      </c>
    </row>
    <row r="24" spans="1:12">
      <c r="A24">
        <v>1.2040999999999999</v>
      </c>
      <c r="B24" t="s">
        <v>227</v>
      </c>
    </row>
    <row r="25" spans="1:12">
      <c r="A25">
        <v>7.5170000000000001E-2</v>
      </c>
      <c r="B25" t="s">
        <v>228</v>
      </c>
    </row>
    <row r="27" spans="1:12">
      <c r="A27" t="s">
        <v>229</v>
      </c>
    </row>
    <row r="28" spans="1:12">
      <c r="A28" t="s">
        <v>230</v>
      </c>
    </row>
    <row r="29" spans="1:12">
      <c r="A29" s="70">
        <v>324</v>
      </c>
      <c r="B29" t="s">
        <v>231</v>
      </c>
      <c r="C29" s="69"/>
    </row>
    <row r="30" spans="1:12">
      <c r="A30">
        <v>11442</v>
      </c>
      <c r="B30" t="s">
        <v>232</v>
      </c>
    </row>
    <row r="31" spans="1:12">
      <c r="A31" t="s">
        <v>233</v>
      </c>
    </row>
    <row r="32" spans="1:12">
      <c r="A32">
        <v>0</v>
      </c>
      <c r="B32" t="s">
        <v>231</v>
      </c>
    </row>
    <row r="33" spans="1:2">
      <c r="A33">
        <v>0</v>
      </c>
      <c r="B33" t="s">
        <v>232</v>
      </c>
    </row>
    <row r="34" spans="1:2">
      <c r="A34" t="s">
        <v>234</v>
      </c>
    </row>
    <row r="35" spans="1:2">
      <c r="A35">
        <v>154.80000000000001</v>
      </c>
      <c r="B35" t="s">
        <v>231</v>
      </c>
    </row>
    <row r="36" spans="1:2">
      <c r="A36">
        <v>5466.7</v>
      </c>
      <c r="B36" t="s">
        <v>232</v>
      </c>
    </row>
  </sheetData>
  <mergeCells count="1">
    <mergeCell ref="G3:I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19</vt:i4>
      </vt:variant>
    </vt:vector>
  </HeadingPairs>
  <TitlesOfParts>
    <vt:vector size="29" baseType="lpstr">
      <vt:lpstr>Dimensions</vt:lpstr>
      <vt:lpstr>Windows</vt:lpstr>
      <vt:lpstr>Leakage</vt:lpstr>
      <vt:lpstr>PRJ-zones</vt:lpstr>
      <vt:lpstr>PRJ-AFEs</vt:lpstr>
      <vt:lpstr>PRJ-paths</vt:lpstr>
      <vt:lpstr>PressTest_4Pa</vt:lpstr>
      <vt:lpstr>PressTest_4Pa_bad</vt:lpstr>
      <vt:lpstr>PressTest_50Pa</vt:lpstr>
      <vt:lpstr>Conversions</vt:lpstr>
      <vt:lpstr>PressTest_4Pa!Ar</vt:lpstr>
      <vt:lpstr>PressTest_4Pa_bad!Ar</vt:lpstr>
      <vt:lpstr>PressTest_50Pa!Ar</vt:lpstr>
      <vt:lpstr>PressTest_4Pa_bad!Cd_r</vt:lpstr>
      <vt:lpstr>PressTest_50Pa!Cd_r</vt:lpstr>
      <vt:lpstr>Cd_r</vt:lpstr>
      <vt:lpstr>PressTest_4Pa!dPr</vt:lpstr>
      <vt:lpstr>PressTest_4Pa_bad!dPr</vt:lpstr>
      <vt:lpstr>PressTest_50Pa!dPr</vt:lpstr>
      <vt:lpstr>HlevTable</vt:lpstr>
      <vt:lpstr>PressTest_4Pa!n</vt:lpstr>
      <vt:lpstr>PressTest_4Pa_bad!n</vt:lpstr>
      <vt:lpstr>PressTest_50Pa!n</vt:lpstr>
      <vt:lpstr>PressTest_4Pa!Qr</vt:lpstr>
      <vt:lpstr>PressTest_4Pa_bad!Qr</vt:lpstr>
      <vt:lpstr>PressTest_50Pa!Qr</vt:lpstr>
      <vt:lpstr>PressTest_4Pa!rho</vt:lpstr>
      <vt:lpstr>PressTest_4Pa_bad!rho</vt:lpstr>
      <vt:lpstr>PressTest_50Pa!rho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Dols, William Stuart (Fed)</dc:creator>
  <cp:lastModifiedBy>Dols, William Stuart (Fed)</cp:lastModifiedBy>
  <dcterms:created xsi:type="dcterms:W3CDTF">2015-06-05T18:17:20Z</dcterms:created>
  <dcterms:modified xsi:type="dcterms:W3CDTF">2021-01-11T15:55:12Z</dcterms:modified>
</cp:coreProperties>
</file>