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xls" ContentType="application/vnd.ms-exce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drawings/drawing7.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comments2.xml" ContentType="application/vnd.openxmlformats-officedocument.spreadsheetml.comments+xml"/>
  <Override PartName="/xl/drawings/drawing8.xml" ContentType="application/vnd.openxmlformats-officedocument.drawing+xml"/>
  <Override PartName="/xl/embeddings/oleObject12.bin" ContentType="application/vnd.openxmlformats-officedocument.oleObject"/>
  <Override PartName="/xl/embeddings/oleObject13.bin" ContentType="application/vnd.openxmlformats-officedocument.oleObject"/>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mc:AlternateContent xmlns:mc="http://schemas.openxmlformats.org/markup-compatibility/2006">
    <mc:Choice Requires="x15">
      <x15ac:absPath xmlns:x15ac="http://schemas.microsoft.com/office/spreadsheetml/2010/11/ac" url="X:\680\NIST_Projects\OWM\Lab_Prgm\Training Prgm\213 Volume Seminar\1 Vol Spreadsheets June 2016\"/>
    </mc:Choice>
  </mc:AlternateContent>
  <bookViews>
    <workbookView xWindow="9585" yWindow="3465" windowWidth="18915" windowHeight="11640" tabRatio="923" firstSheet="5" activeTab="5"/>
  </bookViews>
  <sheets>
    <sheet name="Disclaimer" sheetId="6" r:id="rId1"/>
    <sheet name="Revisions" sheetId="17" r:id="rId2"/>
    <sheet name="Instructions" sheetId="18" r:id="rId3"/>
    <sheet name="Software V &amp; V" sheetId="19" r:id="rId4"/>
    <sheet name="Lookup Tables" sheetId="20" r:id="rId5"/>
    <sheet name="Reference Standards" sheetId="21" r:id="rId6"/>
    <sheet name="SOP 14, OptB " sheetId="16" r:id="rId7"/>
    <sheet name="CIPM Air Density 1981_91" sheetId="3" state="hidden" r:id="rId8"/>
    <sheet name="Water Density" sheetId="4" state="hidden" r:id="rId9"/>
    <sheet name="Water Density Chart" sheetId="5" state="hidden" r:id="rId10"/>
    <sheet name="Effective Density" sheetId="22" r:id="rId11"/>
    <sheet name="Air Density" sheetId="23" r:id="rId12"/>
    <sheet name="H2O Density" sheetId="24" r:id="rId13"/>
    <sheet name="SOP 14, OptB Data Set 1" sheetId="12" r:id="rId14"/>
    <sheet name="SOP 14, OptB Data Set 2" sheetId="13" r:id="rId15"/>
  </sheets>
  <externalReferences>
    <externalReference r:id="rId16"/>
  </externalReferences>
  <definedNames>
    <definedName name="_Table1_In1" localSheetId="6" hidden="1">'SOP 14, OptB '!#REF!</definedName>
    <definedName name="_Table1_In1" localSheetId="13" hidden="1">'SOP 14, OptB Data Set 1'!#REF!</definedName>
    <definedName name="_Table1_In1" localSheetId="14" hidden="1">'SOP 14, OptB Data Set 2'!#REF!</definedName>
    <definedName name="_Table1_In1" hidden="1">#REF!</definedName>
    <definedName name="_Table1_In2" localSheetId="6" hidden="1">#REF!</definedName>
    <definedName name="_Table1_In2" localSheetId="13" hidden="1">#REF!</definedName>
    <definedName name="_Table1_In2" localSheetId="14" hidden="1">#REF!</definedName>
    <definedName name="_Table1_In2" hidden="1">#REF!</definedName>
    <definedName name="_Table1_Out" localSheetId="6" hidden="1">'SOP 14, OptB '!#REF!</definedName>
    <definedName name="_Table1_Out" localSheetId="13" hidden="1">'SOP 14, OptB Data Set 1'!#REF!</definedName>
    <definedName name="_Table1_Out" localSheetId="14" hidden="1">'SOP 14, OptB Data Set 2'!#REF!</definedName>
    <definedName name="_Table1_Out" hidden="1">#REF!</definedName>
    <definedName name="_Table2_In1" localSheetId="6" hidden="1">'SOP 14, OptB '!#REF!</definedName>
    <definedName name="_Table2_In1" localSheetId="13" hidden="1">'SOP 14, OptB Data Set 1'!#REF!</definedName>
    <definedName name="_Table2_In1" localSheetId="14" hidden="1">'SOP 14, OptB Data Set 2'!#REF!</definedName>
    <definedName name="_Table2_In1" hidden="1">#REF!</definedName>
    <definedName name="_Table2_In2" localSheetId="6" hidden="1">#REF!</definedName>
    <definedName name="_Table2_In2" localSheetId="13" hidden="1">#REF!</definedName>
    <definedName name="_Table2_In2" localSheetId="14" hidden="1">#REF!</definedName>
    <definedName name="_Table2_In2" hidden="1">#REF!</definedName>
    <definedName name="_Table2_Out" localSheetId="6" hidden="1">'SOP 14, OptB '!#REF!</definedName>
    <definedName name="_Table2_Out" localSheetId="13" hidden="1">'SOP 14, OptB Data Set 1'!#REF!</definedName>
    <definedName name="_Table2_Out" localSheetId="14" hidden="1">'SOP 14, OptB Data Set 2'!#REF!</definedName>
    <definedName name="_Table2_Out" hidden="1">#REF!</definedName>
    <definedName name="_Table2_Out2" localSheetId="6" hidden="1">#REF!</definedName>
    <definedName name="_Table2_Out2" localSheetId="13" hidden="1">#REF!</definedName>
    <definedName name="_Table2_Out2" localSheetId="14" hidden="1">#REF!</definedName>
    <definedName name="_Table2_Out2" hidden="1">#REF!</definedName>
    <definedName name="DivisorList">'Lookup Tables'!$D$5:$D$13</definedName>
    <definedName name="EmptyReference">'Reference Standards'!$B$4:$I$18</definedName>
    <definedName name="FilledReference">'Reference Standards'!$B$22:$I$36</definedName>
    <definedName name="MassId_Ms1List">'Reference Standards'!$B$4:$B$18</definedName>
    <definedName name="MassId_Ms2List">'Reference Standards'!$B$22:$B$36</definedName>
    <definedName name="NVLAP">'[1]Data Entry'!$I$22</definedName>
    <definedName name="option">'[1]Data Entry'!$I$23</definedName>
    <definedName name="_xlnm.Print_Area" localSheetId="0">Disclaimer!$B$1:$C$12</definedName>
    <definedName name="_xlnm.Print_Area" localSheetId="6">'SOP 14, OptB '!$A$1:$J$86</definedName>
    <definedName name="_xlnm.Print_Area" localSheetId="13">'SOP 14, OptB Data Set 1'!$A$1:$J$86</definedName>
    <definedName name="_xlnm.Print_Area" localSheetId="14">'SOP 14, OptB Data Set 2'!$A$1:$J$85</definedName>
    <definedName name="ProbabilityList">'Lookup Tables'!$C$5:$C$13</definedName>
    <definedName name="RefTemp">'[1]Data Entry'!$I$14</definedName>
    <definedName name="RefTempUnit">'[1]Data Entry'!$F$14</definedName>
    <definedName name="UncTypeList">'Lookup Tables'!$B$5:$B$7</definedName>
    <definedName name="Units">'Lookup Tables'!$E$5:$E$14</definedName>
  </definedNames>
  <calcPr calcId="171027"/>
</workbook>
</file>

<file path=xl/calcChain.xml><?xml version="1.0" encoding="utf-8"?>
<calcChain xmlns="http://schemas.openxmlformats.org/spreadsheetml/2006/main">
  <c r="F73" i="16" l="1"/>
  <c r="C73" i="13" l="1"/>
  <c r="C73" i="12"/>
  <c r="E74" i="16"/>
  <c r="C74" i="16"/>
  <c r="F74" i="16" l="1"/>
  <c r="N79" i="16"/>
  <c r="N79" i="13"/>
  <c r="L5" i="16" l="1"/>
  <c r="B8" i="16" l="1"/>
  <c r="E87" i="13" l="1"/>
  <c r="J85" i="13"/>
  <c r="K85" i="13" s="1"/>
  <c r="J84" i="13"/>
  <c r="M84" i="13" s="1"/>
  <c r="C82" i="13"/>
  <c r="C80" i="13"/>
  <c r="C79" i="13"/>
  <c r="C78" i="13"/>
  <c r="C75" i="13"/>
  <c r="C74" i="13"/>
  <c r="F74" i="13" s="1"/>
  <c r="F73" i="13"/>
  <c r="I73" i="13" s="1"/>
  <c r="E87" i="16"/>
  <c r="J85" i="16"/>
  <c r="K85" i="16" s="1"/>
  <c r="J84" i="16"/>
  <c r="M84" i="16" s="1"/>
  <c r="C80" i="16"/>
  <c r="C79" i="16"/>
  <c r="C78" i="16"/>
  <c r="C75" i="16"/>
  <c r="I74" i="16"/>
  <c r="I73" i="16"/>
  <c r="J73" i="16" s="1"/>
  <c r="J85" i="12"/>
  <c r="K85" i="12" s="1"/>
  <c r="J84" i="12"/>
  <c r="M84" i="12" s="1"/>
  <c r="E87" i="12"/>
  <c r="G27" i="16"/>
  <c r="G26" i="16"/>
  <c r="G25" i="16"/>
  <c r="G24" i="16"/>
  <c r="E27" i="16"/>
  <c r="E26" i="16"/>
  <c r="E25" i="16"/>
  <c r="E24" i="16"/>
  <c r="D27" i="16"/>
  <c r="D26" i="16"/>
  <c r="D25" i="16"/>
  <c r="D24" i="16"/>
  <c r="C27" i="16"/>
  <c r="C26" i="16"/>
  <c r="C25" i="16"/>
  <c r="C24" i="16"/>
  <c r="C28" i="13"/>
  <c r="B27" i="16"/>
  <c r="B26" i="16"/>
  <c r="B25" i="16"/>
  <c r="B24" i="16"/>
  <c r="G19" i="16"/>
  <c r="G18" i="16"/>
  <c r="G17" i="16"/>
  <c r="G16" i="16"/>
  <c r="E19" i="16"/>
  <c r="E18" i="16"/>
  <c r="E17" i="16"/>
  <c r="E16" i="16"/>
  <c r="D19" i="16"/>
  <c r="D18" i="16"/>
  <c r="D17" i="16"/>
  <c r="D16" i="16"/>
  <c r="C19" i="16"/>
  <c r="C18" i="16"/>
  <c r="C17" i="16"/>
  <c r="C16" i="16"/>
  <c r="C20" i="13"/>
  <c r="B19" i="16"/>
  <c r="B18" i="16"/>
  <c r="B17" i="16"/>
  <c r="B16" i="16"/>
  <c r="G27" i="13"/>
  <c r="G26" i="13"/>
  <c r="G25" i="13"/>
  <c r="E27" i="13"/>
  <c r="E26" i="13"/>
  <c r="E25" i="13"/>
  <c r="D27" i="13"/>
  <c r="D26" i="13"/>
  <c r="D25" i="13"/>
  <c r="C27" i="13"/>
  <c r="C26" i="13"/>
  <c r="C25" i="13"/>
  <c r="B27" i="13"/>
  <c r="B26" i="13"/>
  <c r="B25" i="13"/>
  <c r="G19" i="13"/>
  <c r="G18" i="13"/>
  <c r="G17" i="13"/>
  <c r="E19" i="13"/>
  <c r="E18" i="13"/>
  <c r="E17" i="13"/>
  <c r="D19" i="13"/>
  <c r="D18" i="13"/>
  <c r="D17" i="13"/>
  <c r="C19" i="13"/>
  <c r="C18" i="13"/>
  <c r="C17" i="13"/>
  <c r="B19" i="13"/>
  <c r="B18" i="13"/>
  <c r="B17" i="13"/>
  <c r="G27" i="12"/>
  <c r="G26" i="12"/>
  <c r="G25" i="12"/>
  <c r="E27" i="12"/>
  <c r="E26" i="12"/>
  <c r="E25" i="12"/>
  <c r="D27" i="12"/>
  <c r="D26" i="12"/>
  <c r="D25" i="12"/>
  <c r="C27" i="12"/>
  <c r="C26" i="12"/>
  <c r="C25" i="12"/>
  <c r="B27" i="12"/>
  <c r="B26" i="12"/>
  <c r="B25" i="12"/>
  <c r="G19" i="12"/>
  <c r="G18" i="12"/>
  <c r="G17" i="12"/>
  <c r="E19" i="12"/>
  <c r="E18" i="12"/>
  <c r="E17" i="12"/>
  <c r="D19" i="12"/>
  <c r="D18" i="12"/>
  <c r="D17" i="12"/>
  <c r="C19" i="12"/>
  <c r="C18" i="12"/>
  <c r="C17" i="12"/>
  <c r="B19" i="12"/>
  <c r="B18" i="12"/>
  <c r="B17" i="12"/>
  <c r="G22" i="21"/>
  <c r="F24" i="16" s="1"/>
  <c r="F21" i="24"/>
  <c r="F20" i="24"/>
  <c r="E20" i="24"/>
  <c r="D21" i="24"/>
  <c r="C27" i="24"/>
  <c r="C22" i="24"/>
  <c r="E22" i="24" s="1"/>
  <c r="E23" i="24" s="1"/>
  <c r="F17" i="24"/>
  <c r="D17" i="24"/>
  <c r="D20" i="24" s="1"/>
  <c r="E8" i="24"/>
  <c r="E7" i="24"/>
  <c r="E6" i="24"/>
  <c r="E5" i="24"/>
  <c r="E4" i="24"/>
  <c r="F24" i="23"/>
  <c r="E25" i="23"/>
  <c r="D25" i="23"/>
  <c r="D24" i="23"/>
  <c r="C25" i="23"/>
  <c r="B24" i="23"/>
  <c r="E24" i="23" s="1"/>
  <c r="B23" i="23"/>
  <c r="F23" i="23" s="1"/>
  <c r="B22" i="23"/>
  <c r="B26" i="23" s="1"/>
  <c r="E19" i="23"/>
  <c r="D19" i="23"/>
  <c r="C19" i="23"/>
  <c r="K7" i="23"/>
  <c r="L7" i="23" s="1"/>
  <c r="K6" i="23"/>
  <c r="K5" i="23"/>
  <c r="J7" i="23"/>
  <c r="J6" i="23"/>
  <c r="J5" i="23"/>
  <c r="D8" i="23"/>
  <c r="D4" i="23"/>
  <c r="D3" i="23"/>
  <c r="D18" i="22"/>
  <c r="F16" i="22"/>
  <c r="F15" i="22"/>
  <c r="F14" i="22"/>
  <c r="F13" i="22"/>
  <c r="F12" i="22"/>
  <c r="F11" i="22"/>
  <c r="F10" i="22"/>
  <c r="F9" i="22"/>
  <c r="F8" i="22"/>
  <c r="F7" i="22"/>
  <c r="I36" i="21"/>
  <c r="I35" i="21"/>
  <c r="I34" i="21"/>
  <c r="I33" i="21"/>
  <c r="I32" i="21"/>
  <c r="I31" i="21"/>
  <c r="I30" i="21"/>
  <c r="I29" i="21"/>
  <c r="I28" i="21"/>
  <c r="I27" i="21"/>
  <c r="I26" i="21"/>
  <c r="I25" i="21"/>
  <c r="I24" i="21"/>
  <c r="I23" i="21"/>
  <c r="I22" i="21"/>
  <c r="G36" i="21"/>
  <c r="G35" i="21"/>
  <c r="G34" i="21"/>
  <c r="G33" i="21"/>
  <c r="G32" i="21"/>
  <c r="G31" i="21"/>
  <c r="G30" i="21"/>
  <c r="G29" i="21"/>
  <c r="G28" i="21"/>
  <c r="G27" i="21"/>
  <c r="G26" i="21"/>
  <c r="G25" i="21"/>
  <c r="G24" i="21"/>
  <c r="G23" i="21"/>
  <c r="I18" i="21"/>
  <c r="I17" i="21"/>
  <c r="I16" i="21"/>
  <c r="I15" i="21"/>
  <c r="I14" i="21"/>
  <c r="I13" i="21"/>
  <c r="I12" i="21"/>
  <c r="I11" i="21"/>
  <c r="I10" i="21"/>
  <c r="I9" i="21"/>
  <c r="I8" i="21"/>
  <c r="I7" i="21"/>
  <c r="I6" i="21"/>
  <c r="I5" i="21"/>
  <c r="I4" i="21"/>
  <c r="G18" i="21"/>
  <c r="G17" i="21"/>
  <c r="G16" i="21"/>
  <c r="G15" i="21"/>
  <c r="G14" i="21"/>
  <c r="G13" i="21"/>
  <c r="G12" i="21"/>
  <c r="G11" i="21"/>
  <c r="G10" i="21"/>
  <c r="G9" i="21"/>
  <c r="G8" i="21"/>
  <c r="G7" i="21"/>
  <c r="G6" i="21"/>
  <c r="G5" i="21"/>
  <c r="C66" i="16"/>
  <c r="C56" i="16"/>
  <c r="C55" i="16"/>
  <c r="C53" i="16"/>
  <c r="C52" i="16"/>
  <c r="N80" i="16" s="1"/>
  <c r="E11" i="16"/>
  <c r="D11" i="16"/>
  <c r="E10" i="16"/>
  <c r="D10" i="16"/>
  <c r="E9" i="16"/>
  <c r="D9" i="16"/>
  <c r="C82" i="12"/>
  <c r="K84" i="12" l="1"/>
  <c r="C24" i="23"/>
  <c r="E17" i="24"/>
  <c r="E21" i="24" s="1"/>
  <c r="D22" i="24"/>
  <c r="D23" i="24" s="1"/>
  <c r="D24" i="24" s="1"/>
  <c r="K84" i="16"/>
  <c r="C28" i="16"/>
  <c r="C22" i="23"/>
  <c r="F22" i="23"/>
  <c r="E22" i="23"/>
  <c r="M85" i="12"/>
  <c r="J73" i="13"/>
  <c r="M73" i="13" s="1"/>
  <c r="F18" i="22"/>
  <c r="L5" i="23"/>
  <c r="M5" i="23" s="1"/>
  <c r="D22" i="23"/>
  <c r="M85" i="16"/>
  <c r="F27" i="13"/>
  <c r="F26" i="12"/>
  <c r="F25" i="13"/>
  <c r="O78" i="16"/>
  <c r="N78" i="16"/>
  <c r="O78" i="13"/>
  <c r="N78" i="13"/>
  <c r="C20" i="16"/>
  <c r="G9" i="16"/>
  <c r="O81" i="16" s="1"/>
  <c r="H27" i="13"/>
  <c r="H17" i="12"/>
  <c r="H19" i="16"/>
  <c r="H18" i="16"/>
  <c r="H16" i="16"/>
  <c r="H26" i="16"/>
  <c r="H25" i="16"/>
  <c r="H27" i="16"/>
  <c r="E18" i="22"/>
  <c r="L6" i="23"/>
  <c r="M7" i="23"/>
  <c r="D7" i="23" s="1"/>
  <c r="B2" i="23" s="1"/>
  <c r="F22" i="24"/>
  <c r="F23" i="24" s="1"/>
  <c r="H19" i="12"/>
  <c r="H26" i="12"/>
  <c r="H18" i="13"/>
  <c r="H25" i="13"/>
  <c r="B20" i="16"/>
  <c r="B28" i="13"/>
  <c r="H24" i="16"/>
  <c r="B20" i="12"/>
  <c r="F25" i="16"/>
  <c r="F27" i="16"/>
  <c r="F26" i="16"/>
  <c r="C23" i="24"/>
  <c r="E24" i="24" s="1"/>
  <c r="F25" i="12"/>
  <c r="H27" i="12"/>
  <c r="H19" i="13"/>
  <c r="F26" i="13"/>
  <c r="H26" i="13"/>
  <c r="H17" i="16"/>
  <c r="B28" i="16"/>
  <c r="M85" i="13"/>
  <c r="C48" i="16"/>
  <c r="C23" i="23"/>
  <c r="C26" i="23" s="1"/>
  <c r="C27" i="23" s="1"/>
  <c r="D23" i="23"/>
  <c r="D26" i="23" s="1"/>
  <c r="D27" i="23" s="1"/>
  <c r="E23" i="23"/>
  <c r="H18" i="12"/>
  <c r="F27" i="12"/>
  <c r="H25" i="12"/>
  <c r="C20" i="12"/>
  <c r="H17" i="13"/>
  <c r="B20" i="13"/>
  <c r="K84" i="13"/>
  <c r="B28" i="12"/>
  <c r="C28" i="12"/>
  <c r="I74" i="13"/>
  <c r="J74" i="13" s="1"/>
  <c r="M73" i="16"/>
  <c r="J74" i="16"/>
  <c r="C49" i="16"/>
  <c r="G11" i="16"/>
  <c r="O83" i="16" s="1"/>
  <c r="G10" i="16"/>
  <c r="O82" i="16" s="1"/>
  <c r="D5" i="23" l="1"/>
  <c r="B5" i="23" s="1"/>
  <c r="N82" i="16"/>
  <c r="N83" i="16"/>
  <c r="E26" i="23"/>
  <c r="E27" i="23" s="1"/>
  <c r="E30" i="23" s="1"/>
  <c r="C81" i="16"/>
  <c r="H28" i="16"/>
  <c r="G28" i="16" s="1"/>
  <c r="F28" i="13"/>
  <c r="H28" i="13"/>
  <c r="G28" i="13" s="1"/>
  <c r="H28" i="12"/>
  <c r="G28" i="12" s="1"/>
  <c r="F28" i="12"/>
  <c r="H20" i="12"/>
  <c r="G20" i="12" s="1"/>
  <c r="N81" i="16"/>
  <c r="F28" i="16"/>
  <c r="H20" i="16"/>
  <c r="G20" i="16" s="1"/>
  <c r="F82" i="16" s="1"/>
  <c r="I82" i="16" s="1"/>
  <c r="E27" i="24"/>
  <c r="E25" i="24"/>
  <c r="D30" i="23"/>
  <c r="D28" i="23"/>
  <c r="D25" i="24"/>
  <c r="D27" i="24"/>
  <c r="B4" i="23"/>
  <c r="C30" i="23"/>
  <c r="C28" i="23"/>
  <c r="H20" i="13"/>
  <c r="G20" i="13" s="1"/>
  <c r="M6" i="23"/>
  <c r="D6" i="23" s="1"/>
  <c r="B6" i="23" s="1"/>
  <c r="F24" i="24"/>
  <c r="A7" i="23"/>
  <c r="F19" i="23" s="1"/>
  <c r="F25" i="23" s="1"/>
  <c r="F26" i="23" s="1"/>
  <c r="F27" i="23" s="1"/>
  <c r="J83" i="16"/>
  <c r="K83" i="16" s="1"/>
  <c r="M74" i="13"/>
  <c r="M74" i="16"/>
  <c r="B3" i="23"/>
  <c r="J82" i="16" l="1"/>
  <c r="E28" i="23"/>
  <c r="F78" i="16"/>
  <c r="I78" i="16" s="1"/>
  <c r="J78" i="16" s="1"/>
  <c r="C58" i="16"/>
  <c r="C62" i="16" s="1"/>
  <c r="F79" i="16"/>
  <c r="I79" i="16" s="1"/>
  <c r="J79" i="16" s="1"/>
  <c r="F81" i="16"/>
  <c r="I81" i="16" s="1"/>
  <c r="J81" i="16" s="1"/>
  <c r="F77" i="16"/>
  <c r="I77" i="16" s="1"/>
  <c r="J77" i="16" s="1"/>
  <c r="F80" i="16"/>
  <c r="I80" i="16" s="1"/>
  <c r="J80" i="16" s="1"/>
  <c r="C59" i="16"/>
  <c r="C63" i="16" s="1"/>
  <c r="F30" i="23"/>
  <c r="F28" i="23"/>
  <c r="B28" i="23"/>
  <c r="B31" i="23" s="1"/>
  <c r="D31" i="23" s="1"/>
  <c r="D29" i="23"/>
  <c r="F25" i="24"/>
  <c r="F27" i="24"/>
  <c r="E29" i="23"/>
  <c r="M83" i="16"/>
  <c r="F29" i="23" l="1"/>
  <c r="M82" i="16"/>
  <c r="F76" i="16"/>
  <c r="I76" i="16" s="1"/>
  <c r="J76" i="16" s="1"/>
  <c r="F75" i="16"/>
  <c r="I75" i="16" s="1"/>
  <c r="J75" i="16" s="1"/>
  <c r="C29" i="23"/>
  <c r="H29" i="23" s="1"/>
  <c r="C25" i="24"/>
  <c r="C65" i="16"/>
  <c r="D66" i="16" s="1"/>
  <c r="M81" i="16"/>
  <c r="M77" i="16"/>
  <c r="M79" i="16"/>
  <c r="M78" i="16"/>
  <c r="M80" i="16"/>
  <c r="D26" i="24" l="1"/>
  <c r="C28" i="24"/>
  <c r="E28" i="24" s="1"/>
  <c r="E26" i="24"/>
  <c r="F26" i="24"/>
  <c r="M75" i="16"/>
  <c r="M76" i="16"/>
  <c r="H26" i="24" l="1"/>
  <c r="D40" i="13" l="1"/>
  <c r="D38" i="13"/>
  <c r="D35" i="13"/>
  <c r="D33" i="13"/>
  <c r="C66" i="13"/>
  <c r="C56" i="13"/>
  <c r="C55" i="13"/>
  <c r="C53" i="13"/>
  <c r="C52" i="13"/>
  <c r="N80" i="13" s="1"/>
  <c r="E11" i="13"/>
  <c r="D11" i="13"/>
  <c r="E10" i="13"/>
  <c r="D10" i="13"/>
  <c r="E9" i="13"/>
  <c r="D9" i="13"/>
  <c r="B8" i="13"/>
  <c r="G10" i="13" l="1"/>
  <c r="C49" i="13"/>
  <c r="G9" i="13"/>
  <c r="O81" i="13" s="1"/>
  <c r="G11" i="13"/>
  <c r="O83" i="13" s="1"/>
  <c r="C48" i="13"/>
  <c r="C81" i="13" s="1"/>
  <c r="N79" i="12"/>
  <c r="C56" i="12"/>
  <c r="C55" i="12"/>
  <c r="B8" i="12"/>
  <c r="O82" i="13" l="1"/>
  <c r="N82" i="13" s="1"/>
  <c r="N83" i="13"/>
  <c r="N81" i="13"/>
  <c r="F78" i="13" s="1"/>
  <c r="I78" i="13" s="1"/>
  <c r="J78" i="13" s="1"/>
  <c r="F80" i="13"/>
  <c r="I80" i="13" s="1"/>
  <c r="J80" i="13" s="1"/>
  <c r="F81" i="13"/>
  <c r="I81" i="13" s="1"/>
  <c r="J81" i="13" s="1"/>
  <c r="F83" i="13"/>
  <c r="F79" i="13"/>
  <c r="F77" i="13"/>
  <c r="C58" i="13"/>
  <c r="C59" i="13"/>
  <c r="C63" i="13" s="1"/>
  <c r="C66" i="12"/>
  <c r="C53" i="12"/>
  <c r="C52" i="12"/>
  <c r="M81" i="13" l="1"/>
  <c r="I77" i="13"/>
  <c r="J77" i="13" s="1"/>
  <c r="M78" i="13"/>
  <c r="I79" i="13"/>
  <c r="J79" i="13" s="1"/>
  <c r="M80" i="13"/>
  <c r="F76" i="13"/>
  <c r="F75" i="13"/>
  <c r="I75" i="13" s="1"/>
  <c r="J75" i="13" s="1"/>
  <c r="N80" i="12"/>
  <c r="C62" i="13"/>
  <c r="F82" i="13" s="1"/>
  <c r="F73" i="12"/>
  <c r="C80" i="12"/>
  <c r="C79" i="12"/>
  <c r="C78" i="12"/>
  <c r="C75" i="12"/>
  <c r="C74" i="12"/>
  <c r="F74" i="12" s="1"/>
  <c r="E11" i="12"/>
  <c r="D11" i="12"/>
  <c r="E10" i="12"/>
  <c r="D10" i="12"/>
  <c r="E9" i="12"/>
  <c r="D9" i="12"/>
  <c r="M77" i="13" l="1"/>
  <c r="M79" i="13"/>
  <c r="I74" i="12"/>
  <c r="J74" i="12" s="1"/>
  <c r="M74" i="12" s="1"/>
  <c r="I83" i="13"/>
  <c r="J83" i="13" s="1"/>
  <c r="I82" i="13"/>
  <c r="J82" i="13" s="1"/>
  <c r="I76" i="13"/>
  <c r="J76" i="13" s="1"/>
  <c r="M75" i="13"/>
  <c r="I73" i="12"/>
  <c r="J73" i="12" s="1"/>
  <c r="N78" i="12"/>
  <c r="O78" i="12"/>
  <c r="C65" i="13"/>
  <c r="D66" i="13" s="1"/>
  <c r="G11" i="12"/>
  <c r="O83" i="12" s="1"/>
  <c r="C49" i="12"/>
  <c r="G9" i="12"/>
  <c r="O81" i="12" s="1"/>
  <c r="C48" i="12"/>
  <c r="C81" i="12" s="1"/>
  <c r="G10" i="12"/>
  <c r="M83" i="13" l="1"/>
  <c r="M82" i="13"/>
  <c r="M76" i="13"/>
  <c r="M73" i="12"/>
  <c r="C58" i="12"/>
  <c r="F83" i="12"/>
  <c r="C59" i="12"/>
  <c r="C63" i="12" s="1"/>
  <c r="F77" i="12"/>
  <c r="F81" i="12"/>
  <c r="N83" i="12"/>
  <c r="N81" i="12"/>
  <c r="F78" i="12" s="1"/>
  <c r="O82" i="12"/>
  <c r="N82" i="12" s="1"/>
  <c r="F79" i="12" s="1"/>
  <c r="I81" i="12" l="1"/>
  <c r="J81" i="12" s="1"/>
  <c r="I78" i="12"/>
  <c r="J78" i="12" s="1"/>
  <c r="I79" i="12"/>
  <c r="J79" i="12" s="1"/>
  <c r="I77" i="12"/>
  <c r="J77" i="12" s="1"/>
  <c r="F80" i="12"/>
  <c r="C62" i="12"/>
  <c r="F76" i="12"/>
  <c r="F75" i="12"/>
  <c r="M77" i="12" l="1"/>
  <c r="M79" i="12"/>
  <c r="M78" i="12"/>
  <c r="M81" i="12"/>
  <c r="I80" i="12"/>
  <c r="J80" i="12" s="1"/>
  <c r="F82" i="12"/>
  <c r="I76" i="12"/>
  <c r="J76" i="12" s="1"/>
  <c r="I75" i="12"/>
  <c r="J75" i="12" s="1"/>
  <c r="C65" i="12"/>
  <c r="D66" i="12" s="1"/>
  <c r="M75" i="12" l="1"/>
  <c r="M80" i="12"/>
  <c r="M76" i="12"/>
  <c r="I83" i="12"/>
  <c r="J83" i="12" s="1"/>
  <c r="I82" i="12"/>
  <c r="J82" i="12" s="1"/>
  <c r="B41" i="4"/>
  <c r="B40" i="4"/>
  <c r="B39" i="4"/>
  <c r="G39" i="4" s="1"/>
  <c r="B38" i="4"/>
  <c r="B37" i="4"/>
  <c r="B36" i="4"/>
  <c r="B35" i="4"/>
  <c r="B34" i="4"/>
  <c r="B33" i="4"/>
  <c r="B32" i="4"/>
  <c r="B31" i="4"/>
  <c r="B30" i="4"/>
  <c r="B29" i="4"/>
  <c r="B28" i="4"/>
  <c r="G28" i="4" s="1"/>
  <c r="B27" i="4"/>
  <c r="G27" i="4" s="1"/>
  <c r="B26" i="4"/>
  <c r="B25" i="4"/>
  <c r="B24" i="4"/>
  <c r="B23" i="4"/>
  <c r="B22" i="4"/>
  <c r="B21" i="4"/>
  <c r="B20" i="4"/>
  <c r="B19" i="4"/>
  <c r="B18" i="4"/>
  <c r="B17" i="4"/>
  <c r="B16" i="4"/>
  <c r="B15" i="4"/>
  <c r="B14" i="4"/>
  <c r="B13" i="4"/>
  <c r="B12" i="4"/>
  <c r="B11" i="4"/>
  <c r="G11" i="4" s="1"/>
  <c r="B10" i="4"/>
  <c r="B9" i="4"/>
  <c r="B8" i="4"/>
  <c r="B7" i="4"/>
  <c r="G7" i="4" s="1"/>
  <c r="B6" i="4"/>
  <c r="F5" i="3"/>
  <c r="F6" i="3"/>
  <c r="F7" i="3"/>
  <c r="D41" i="4"/>
  <c r="D40" i="4"/>
  <c r="D39" i="4"/>
  <c r="D38" i="4"/>
  <c r="G38" i="4" s="1"/>
  <c r="D37" i="4"/>
  <c r="G37" i="4" s="1"/>
  <c r="D36" i="4"/>
  <c r="D35" i="4"/>
  <c r="D34" i="4"/>
  <c r="G34" i="4" s="1"/>
  <c r="D33" i="4"/>
  <c r="D32" i="4"/>
  <c r="D31" i="4"/>
  <c r="D30" i="4"/>
  <c r="G30" i="4" s="1"/>
  <c r="D29" i="4"/>
  <c r="G29" i="4"/>
  <c r="D28" i="4"/>
  <c r="D27" i="4"/>
  <c r="D26" i="4"/>
  <c r="G26" i="4" s="1"/>
  <c r="D25" i="4"/>
  <c r="D24" i="4"/>
  <c r="D23" i="4"/>
  <c r="D22" i="4"/>
  <c r="G22" i="4" s="1"/>
  <c r="D21" i="4"/>
  <c r="G21" i="4" s="1"/>
  <c r="D20" i="4"/>
  <c r="D19" i="4"/>
  <c r="D18" i="4"/>
  <c r="G18" i="4" s="1"/>
  <c r="D17" i="4"/>
  <c r="D16" i="4"/>
  <c r="D15" i="4"/>
  <c r="D14" i="4"/>
  <c r="G14" i="4"/>
  <c r="D13" i="4"/>
  <c r="G13" i="4" s="1"/>
  <c r="D12" i="4"/>
  <c r="G12" i="4"/>
  <c r="D11" i="4"/>
  <c r="D10" i="4"/>
  <c r="G10" i="4"/>
  <c r="D9" i="4"/>
  <c r="D8" i="4"/>
  <c r="D7" i="4"/>
  <c r="D6" i="4"/>
  <c r="G6" i="4" s="1"/>
  <c r="G36" i="4" l="1"/>
  <c r="G20" i="4"/>
  <c r="M83" i="12"/>
  <c r="G19" i="4"/>
  <c r="G23" i="4"/>
  <c r="G31" i="4"/>
  <c r="C8" i="3"/>
  <c r="E8" i="3" s="1"/>
  <c r="G35" i="4"/>
  <c r="G9" i="4"/>
  <c r="G17" i="4"/>
  <c r="G25" i="4"/>
  <c r="G33" i="4"/>
  <c r="G41" i="4"/>
  <c r="G15" i="4"/>
  <c r="G8" i="4"/>
  <c r="G16" i="4"/>
  <c r="G24" i="4"/>
  <c r="G32" i="4"/>
  <c r="G40" i="4"/>
  <c r="M82" i="12"/>
  <c r="G4" i="21" l="1"/>
  <c r="F16" i="16" s="1"/>
  <c r="F19" i="12" l="1"/>
  <c r="F17" i="13"/>
  <c r="F19" i="13"/>
  <c r="F18" i="16"/>
  <c r="F18" i="13"/>
  <c r="F17" i="16"/>
  <c r="F18" i="12"/>
  <c r="F17" i="12"/>
  <c r="F19" i="16"/>
  <c r="F20" i="16" s="1"/>
  <c r="C72" i="16" s="1"/>
  <c r="F72" i="16" s="1"/>
  <c r="I72" i="16" s="1"/>
  <c r="J72" i="16" s="1"/>
  <c r="K72" i="16" s="1"/>
  <c r="K82" i="16"/>
  <c r="K79" i="16"/>
  <c r="K73" i="16"/>
  <c r="K81" i="16"/>
  <c r="K74" i="16"/>
  <c r="K76" i="16"/>
  <c r="K78" i="16"/>
  <c r="M72" i="16"/>
  <c r="M86" i="16" s="1"/>
  <c r="K77" i="16"/>
  <c r="K80" i="16"/>
  <c r="K75" i="16"/>
  <c r="J89" i="16"/>
  <c r="M89" i="16" s="1"/>
  <c r="F20" i="13" l="1"/>
  <c r="C72" i="13" s="1"/>
  <c r="F72" i="13" s="1"/>
  <c r="I72" i="13" s="1"/>
  <c r="J72" i="13" s="1"/>
  <c r="M72" i="13" s="1"/>
  <c r="M86" i="13" s="1"/>
  <c r="K73" i="13"/>
  <c r="K77" i="13"/>
  <c r="K79" i="13"/>
  <c r="K74" i="13"/>
  <c r="K82" i="13"/>
  <c r="K80" i="13"/>
  <c r="K72" i="13"/>
  <c r="K76" i="13"/>
  <c r="J89" i="13"/>
  <c r="M89" i="13" s="1"/>
  <c r="F20" i="12"/>
  <c r="C72" i="12" s="1"/>
  <c r="F72" i="12" s="1"/>
  <c r="I72" i="12" s="1"/>
  <c r="J72" i="12" s="1"/>
  <c r="M91" i="16"/>
  <c r="E88" i="16" s="1"/>
  <c r="J90" i="16" s="1"/>
  <c r="J91" i="16" s="1"/>
  <c r="K86" i="16"/>
  <c r="K78" i="13" l="1"/>
  <c r="K83" i="13"/>
  <c r="K75" i="13"/>
  <c r="K81" i="13"/>
  <c r="M91" i="13"/>
  <c r="E88" i="13" s="1"/>
  <c r="J90" i="13" s="1"/>
  <c r="J91" i="13" s="1"/>
  <c r="M72" i="12"/>
  <c r="M86" i="12" s="1"/>
  <c r="K72" i="12"/>
  <c r="K83" i="12"/>
  <c r="K81" i="12"/>
  <c r="K77" i="12"/>
  <c r="K79" i="12"/>
  <c r="K74" i="12"/>
  <c r="K82" i="12"/>
  <c r="K75" i="12"/>
  <c r="K73" i="12"/>
  <c r="K80" i="12"/>
  <c r="J89" i="12"/>
  <c r="M89" i="12" s="1"/>
  <c r="K76" i="12"/>
  <c r="K78" i="12"/>
  <c r="K86" i="13"/>
  <c r="J92" i="16"/>
  <c r="E44" i="16"/>
  <c r="G44" i="16"/>
  <c r="C43" i="16"/>
  <c r="G43" i="16"/>
  <c r="E43" i="16"/>
  <c r="C44" i="16"/>
  <c r="M91" i="12" l="1"/>
  <c r="E88" i="12" s="1"/>
  <c r="J90" i="12" s="1"/>
  <c r="J91" i="12" s="1"/>
  <c r="J92" i="13"/>
  <c r="G43" i="13"/>
  <c r="E44" i="13"/>
  <c r="E43" i="13"/>
  <c r="C43" i="13"/>
  <c r="C44" i="13"/>
  <c r="G44" i="13"/>
  <c r="K86" i="12"/>
  <c r="J92" i="12" l="1"/>
  <c r="E44" i="12"/>
  <c r="E43" i="12"/>
  <c r="G44" i="12"/>
  <c r="C43" i="12"/>
  <c r="C44" i="12"/>
  <c r="G43" i="12"/>
</calcChain>
</file>

<file path=xl/comments1.xml><?xml version="1.0" encoding="utf-8"?>
<comments xmlns="http://schemas.openxmlformats.org/spreadsheetml/2006/main">
  <authors>
    <author>Georgia</author>
  </authors>
  <commentList>
    <comment ref="I35" authorId="0" shapeId="0">
      <text>
        <r>
          <rPr>
            <sz val="9"/>
            <color indexed="81"/>
            <rFont val="Tahoma"/>
            <family val="2"/>
          </rPr>
          <t>Determine after weighing, before emptying.</t>
        </r>
      </text>
    </comment>
    <comment ref="I40" authorId="0" shapeId="0">
      <text>
        <r>
          <rPr>
            <sz val="9"/>
            <color indexed="81"/>
            <rFont val="Tahoma"/>
            <family val="2"/>
          </rPr>
          <t>Determine after weighing, before emptying.</t>
        </r>
      </text>
    </comment>
  </commentList>
</comments>
</file>

<file path=xl/comments2.xml><?xml version="1.0" encoding="utf-8"?>
<comments xmlns="http://schemas.openxmlformats.org/spreadsheetml/2006/main">
  <authors>
    <author>Georgia</author>
  </authors>
  <commentList>
    <comment ref="I35" authorId="0" shapeId="0">
      <text>
        <r>
          <rPr>
            <sz val="9"/>
            <color indexed="81"/>
            <rFont val="Tahoma"/>
            <family val="2"/>
          </rPr>
          <t>Determine before emptying flask.</t>
        </r>
      </text>
    </comment>
    <comment ref="I40" authorId="0" shapeId="0">
      <text>
        <r>
          <rPr>
            <sz val="9"/>
            <color indexed="81"/>
            <rFont val="Tahoma"/>
            <family val="2"/>
          </rPr>
          <t>Determine before emptying flask.</t>
        </r>
      </text>
    </comment>
  </commentList>
</comments>
</file>

<file path=xl/comments3.xml><?xml version="1.0" encoding="utf-8"?>
<comments xmlns="http://schemas.openxmlformats.org/spreadsheetml/2006/main">
  <authors>
    <author>Georgia</author>
  </authors>
  <commentList>
    <comment ref="I35" authorId="0" shapeId="0">
      <text>
        <r>
          <rPr>
            <sz val="9"/>
            <color indexed="81"/>
            <rFont val="Tahoma"/>
            <family val="2"/>
          </rPr>
          <t>Determine before emptying flask.</t>
        </r>
      </text>
    </comment>
    <comment ref="I40" authorId="0" shapeId="0">
      <text>
        <r>
          <rPr>
            <sz val="9"/>
            <color indexed="81"/>
            <rFont val="Tahoma"/>
            <family val="2"/>
          </rPr>
          <t>Determine before emptying flask.</t>
        </r>
      </text>
    </comment>
  </commentList>
</comments>
</file>

<file path=xl/sharedStrings.xml><?xml version="1.0" encoding="utf-8"?>
<sst xmlns="http://schemas.openxmlformats.org/spreadsheetml/2006/main" count="1160" uniqueCount="523">
  <si>
    <t xml:space="preserve">      **  Calculated Air Density  **</t>
  </si>
  <si>
    <t xml:space="preserve">      **  Calculated Water Density  **</t>
  </si>
  <si>
    <t xml:space="preserve">      **  Calculated Temperature Correction  **</t>
  </si>
  <si>
    <t xml:space="preserve">Password to unlock: </t>
  </si>
  <si>
    <t>metrology</t>
  </si>
  <si>
    <t>Do not delete these cells</t>
  </si>
  <si>
    <t>Air Density Calculation</t>
  </si>
  <si>
    <t>They are used to calculate air density.</t>
  </si>
  <si>
    <t xml:space="preserve"> Barometric Pressure:</t>
  </si>
  <si>
    <t>mm Hg</t>
  </si>
  <si>
    <t>Pa</t>
  </si>
  <si>
    <t xml:space="preserve"> Temperature:</t>
  </si>
  <si>
    <t>°C</t>
  </si>
  <si>
    <t>°K</t>
  </si>
  <si>
    <t xml:space="preserve"> Relative Humidity:</t>
  </si>
  <si>
    <t>%</t>
  </si>
  <si>
    <t xml:space="preserve"> Calculated Air Density:</t>
  </si>
  <si>
    <t xml:space="preserve">NOTE:  When copying these cells into a spreadsheet, they must be pasted into exactly </t>
  </si>
  <si>
    <t>the same cells on a new worksheet (i.e., the block from A3 to G7).</t>
  </si>
  <si>
    <t xml:space="preserve">Cell references in the equations are "absolute" and fixed to the reference cells in each equation.  </t>
  </si>
  <si>
    <t>Once the cells are pasted, the entire block may be dragged/dropped.</t>
  </si>
  <si>
    <r>
      <t>mg/cm</t>
    </r>
    <r>
      <rPr>
        <vertAlign val="superscript"/>
        <sz val="12"/>
        <rFont val="Times New Roman"/>
        <family val="1"/>
      </rPr>
      <t>3</t>
    </r>
  </si>
  <si>
    <r>
      <t>g/cm</t>
    </r>
    <r>
      <rPr>
        <vertAlign val="superscript"/>
        <sz val="12"/>
        <rFont val="Times New Roman"/>
        <family val="1"/>
      </rPr>
      <t>3</t>
    </r>
  </si>
  <si>
    <t>C</t>
  </si>
  <si>
    <t>Water Density</t>
  </si>
  <si>
    <r>
      <t>g/m</t>
    </r>
    <r>
      <rPr>
        <vertAlign val="superscript"/>
        <sz val="12"/>
        <rFont val="Times New Roman"/>
        <family val="1"/>
      </rPr>
      <t>3</t>
    </r>
  </si>
  <si>
    <t>A</t>
  </si>
  <si>
    <t>B</t>
  </si>
  <si>
    <t>D</t>
  </si>
  <si>
    <t>E</t>
  </si>
  <si>
    <t>T0</t>
  </si>
  <si>
    <t>P0</t>
  </si>
  <si>
    <t>Patterson/Morris (1994), Air-free</t>
  </si>
  <si>
    <t>Jones, F.E., and Harris, G. L. ITS-90 Density of Water Formulation for</t>
  </si>
  <si>
    <t>Volumetric Standards Calibration, NIST Jrnl of Research, 97, 335-340 (1992).</t>
  </si>
  <si>
    <t>Jones/Harris (1992), Air-saturated</t>
  </si>
  <si>
    <t>Water Temp - C</t>
  </si>
  <si>
    <t>Difference</t>
  </si>
  <si>
    <t>ppm</t>
  </si>
  <si>
    <t>mL</t>
  </si>
  <si>
    <t>Run 1</t>
  </si>
  <si>
    <t>Run 2</t>
  </si>
  <si>
    <t>Run 1: Temperature Correction Factor:</t>
  </si>
  <si>
    <t>Run 2: Temperature Correction Factor:</t>
  </si>
  <si>
    <t>g</t>
  </si>
  <si>
    <t>Mass</t>
  </si>
  <si>
    <t>Value</t>
  </si>
  <si>
    <t>Water Temp</t>
  </si>
  <si>
    <t>Pressure</t>
  </si>
  <si>
    <t>RH</t>
  </si>
  <si>
    <t>Air Density</t>
  </si>
  <si>
    <t>Mass Density</t>
  </si>
  <si>
    <t>Rectangular</t>
  </si>
  <si>
    <t>**  rounded to 6 digits</t>
  </si>
  <si>
    <t>**  rounded to 8 digits</t>
  </si>
  <si>
    <t>Coeff. of Cubical Exp.</t>
  </si>
  <si>
    <t>**  rounded to 9 digits</t>
  </si>
  <si>
    <t>Disclaimer</t>
  </si>
  <si>
    <t>Operator</t>
  </si>
  <si>
    <t>Material</t>
  </si>
  <si>
    <t>Date</t>
  </si>
  <si>
    <t>Before</t>
  </si>
  <si>
    <t>After</t>
  </si>
  <si>
    <t>Balance</t>
  </si>
  <si>
    <t>Degrees of Freedom</t>
  </si>
  <si>
    <t>Filled</t>
  </si>
  <si>
    <t>Balance Observations, Units:</t>
  </si>
  <si>
    <r>
      <t>Run 1: Water Density (g/cm</t>
    </r>
    <r>
      <rPr>
        <vertAlign val="superscript"/>
        <sz val="10"/>
        <rFont val="Times New Roman"/>
        <family val="1"/>
      </rPr>
      <t>3</t>
    </r>
    <r>
      <rPr>
        <sz val="10"/>
        <rFont val="Times New Roman"/>
        <family val="1"/>
      </rPr>
      <t>):</t>
    </r>
  </si>
  <si>
    <r>
      <t xml:space="preserve">*Mass Correction = </t>
    </r>
    <r>
      <rPr>
        <i/>
        <sz val="10"/>
        <rFont val="Times New Roman"/>
        <family val="1"/>
      </rPr>
      <t>True Mass!</t>
    </r>
    <r>
      <rPr>
        <sz val="10"/>
        <rFont val="Times New Roman"/>
        <family val="1"/>
      </rPr>
      <t xml:space="preserve"> Density is required for buoyancy corrections.</t>
    </r>
  </si>
  <si>
    <r>
      <t>Run 2: Water Density (g/cm</t>
    </r>
    <r>
      <rPr>
        <vertAlign val="superscript"/>
        <sz val="10"/>
        <rFont val="Times New Roman"/>
        <family val="1"/>
      </rPr>
      <t>3</t>
    </r>
    <r>
      <rPr>
        <sz val="10"/>
        <rFont val="Times New Roman"/>
        <family val="1"/>
      </rPr>
      <t>):</t>
    </r>
  </si>
  <si>
    <r>
      <t>O</t>
    </r>
    <r>
      <rPr>
        <vertAlign val="subscript"/>
        <sz val="10"/>
        <rFont val="Times New Roman"/>
        <family val="1"/>
      </rPr>
      <t>1</t>
    </r>
  </si>
  <si>
    <r>
      <t>O</t>
    </r>
    <r>
      <rPr>
        <vertAlign val="subscript"/>
        <sz val="10"/>
        <rFont val="Times New Roman"/>
        <family val="1"/>
      </rPr>
      <t>2</t>
    </r>
  </si>
  <si>
    <r>
      <t>O</t>
    </r>
    <r>
      <rPr>
        <vertAlign val="subscript"/>
        <sz val="10"/>
        <rFont val="Times New Roman"/>
        <family val="1"/>
      </rPr>
      <t>3</t>
    </r>
  </si>
  <si>
    <t>Nominal Load (g)</t>
  </si>
  <si>
    <r>
      <t xml:space="preserve">Standard deviation of the process, from control chart, </t>
    </r>
    <r>
      <rPr>
        <i/>
        <sz val="10"/>
        <rFont val="Times New Roman"/>
        <family val="1"/>
      </rPr>
      <t>s</t>
    </r>
    <r>
      <rPr>
        <i/>
        <vertAlign val="subscript"/>
        <sz val="10"/>
        <rFont val="Times New Roman"/>
        <family val="1"/>
      </rPr>
      <t>p</t>
    </r>
    <r>
      <rPr>
        <i/>
        <sz val="10"/>
        <rFont val="Times New Roman"/>
        <family val="1"/>
      </rPr>
      <t xml:space="preserve">, </t>
    </r>
    <r>
      <rPr>
        <sz val="10"/>
        <rFont val="Times New Roman"/>
        <family val="1"/>
      </rPr>
      <t>mL</t>
    </r>
  </si>
  <si>
    <t>Uncertainty</t>
  </si>
  <si>
    <t>Test Number</t>
  </si>
  <si>
    <r>
      <t xml:space="preserve">Final water temp  </t>
    </r>
    <r>
      <rPr>
        <i/>
        <sz val="10"/>
        <rFont val="Times New Roman"/>
        <family val="1"/>
      </rPr>
      <t>t</t>
    </r>
    <r>
      <rPr>
        <i/>
        <vertAlign val="subscript"/>
        <sz val="10"/>
        <rFont val="Times New Roman"/>
        <family val="1"/>
      </rPr>
      <t xml:space="preserve">w </t>
    </r>
    <r>
      <rPr>
        <i/>
        <sz val="10"/>
        <rFont val="Times New Roman"/>
        <family val="1"/>
      </rPr>
      <t>°C</t>
    </r>
    <r>
      <rPr>
        <sz val="10"/>
        <rFont val="Times New Roman"/>
        <family val="1"/>
      </rPr>
      <t>:</t>
    </r>
  </si>
  <si>
    <t>Intermediate Calculations:</t>
  </si>
  <si>
    <t>Unc (k factor)</t>
  </si>
  <si>
    <t>Nominal 
(g)</t>
  </si>
  <si>
    <t>Mass Correction* 
(g)</t>
  </si>
  <si>
    <r>
      <t>Density
(g/cm</t>
    </r>
    <r>
      <rPr>
        <vertAlign val="superscript"/>
        <sz val="10"/>
        <rFont val="Times New Roman"/>
        <family val="1"/>
      </rPr>
      <t>3</t>
    </r>
    <r>
      <rPr>
        <sz val="10"/>
        <rFont val="Times New Roman"/>
        <family val="1"/>
      </rPr>
      <t>)</t>
    </r>
  </si>
  <si>
    <t xml:space="preserve">      **  Calculated Volume at Test Temperature **</t>
  </si>
  <si>
    <t>Run 1: Volume at Test Temperature</t>
  </si>
  <si>
    <t>Run 2: Volume at Test Temperature</t>
  </si>
  <si>
    <t>/°C</t>
  </si>
  <si>
    <t xml:space="preserve">Reported Uncertainty: </t>
  </si>
  <si>
    <t>SOP 2, Option B (NIST IR 6969), 2012</t>
  </si>
  <si>
    <r>
      <t xml:space="preserve">Measured Item 
</t>
    </r>
    <r>
      <rPr>
        <i/>
        <sz val="10"/>
        <rFont val="Times New Roman"/>
        <family val="1"/>
      </rPr>
      <t>Zero balance before each observation.</t>
    </r>
  </si>
  <si>
    <t>Vessel Mfg and SN</t>
  </si>
  <si>
    <t>Tanaka, et al (2012), Air-Saturated (0 °C to 40 °C)</t>
  </si>
  <si>
    <t>Sum and Effective Density</t>
  </si>
  <si>
    <t>Average Environmental</t>
  </si>
  <si>
    <r>
      <t>Volume
(cm</t>
    </r>
    <r>
      <rPr>
        <vertAlign val="superscript"/>
        <sz val="10"/>
        <rFont val="Times New Roman"/>
        <family val="1"/>
      </rPr>
      <t>3</t>
    </r>
    <r>
      <rPr>
        <sz val="10"/>
        <rFont val="Times New Roman"/>
        <family val="1"/>
      </rPr>
      <t>)</t>
    </r>
  </si>
  <si>
    <t>Uncertainty Intermediate Calcs</t>
  </si>
  <si>
    <r>
      <t>Accepted s</t>
    </r>
    <r>
      <rPr>
        <b/>
        <vertAlign val="subscript"/>
        <sz val="10"/>
        <rFont val="Times New Roman"/>
        <family val="1"/>
      </rPr>
      <t>p</t>
    </r>
    <r>
      <rPr>
        <b/>
        <sz val="10"/>
        <rFont val="Times New Roman"/>
        <family val="1"/>
      </rPr>
      <t xml:space="preserve"> (Range/1.414)</t>
    </r>
  </si>
  <si>
    <t>gram</t>
  </si>
  <si>
    <t>Air Temperature, °C</t>
  </si>
  <si>
    <t>Pressure, mm Hg</t>
  </si>
  <si>
    <t>Relative Humidity, %</t>
  </si>
  <si>
    <t xml:space="preserve">Air Temp </t>
  </si>
  <si>
    <t xml:space="preserve">File was updated to modify all units and symbols consistent with NIST SP 811, SOP 2 (Air Density) 2012 Version from NISTIR 6969, GLP 10 (Water Density) 2012 Version from NISTIR 7383, SOP 14, 2012 Version NISTIR 7383, automatic calculations of uncertainty provided valid process standard deviations are entered.  This is set to print on two pages. </t>
  </si>
  <si>
    <t>Measurements:</t>
  </si>
  <si>
    <r>
      <t>Run 1, Average Air Density (g/cm</t>
    </r>
    <r>
      <rPr>
        <vertAlign val="superscript"/>
        <sz val="10"/>
        <rFont val="Times New Roman"/>
        <family val="1"/>
      </rPr>
      <t>3</t>
    </r>
    <r>
      <rPr>
        <sz val="10"/>
        <rFont val="Times New Roman"/>
        <family val="1"/>
      </rPr>
      <t>):</t>
    </r>
  </si>
  <si>
    <r>
      <t>Run 2, AverageAir Density (g/cm</t>
    </r>
    <r>
      <rPr>
        <vertAlign val="superscript"/>
        <sz val="10"/>
        <rFont val="Times New Roman"/>
        <family val="1"/>
      </rPr>
      <t>3</t>
    </r>
    <r>
      <rPr>
        <sz val="10"/>
        <rFont val="Times New Roman"/>
        <family val="1"/>
      </rPr>
      <t>):</t>
    </r>
  </si>
  <si>
    <t>Run 1 Average</t>
  </si>
  <si>
    <t>Run 2 Average</t>
  </si>
  <si>
    <r>
      <t>Laboratory data, calibration item, and conditions</t>
    </r>
    <r>
      <rPr>
        <sz val="10"/>
        <rFont val="Times New Roman"/>
        <family val="1"/>
      </rPr>
      <t>:</t>
    </r>
  </si>
  <si>
    <t>Note</t>
  </si>
  <si>
    <t>Test Notes</t>
  </si>
  <si>
    <t>If you distribute these tools through any means other than the NIST OWM website at www.nist.gov/labmetrology, you should check the website to ensure the tool being provided is the latest version available, and provide information to users on how to check for updates and revisions to the tools.</t>
  </si>
  <si>
    <t>These spreadsheets are provided as a useful approach for metrology calculations according to the SOP represented here.  However, NIST OWM or any other organization involved in their development, collectively and individually, do not warrant this spreadsheets for any specific purpose, nor do they make any representations regarding their fitness for any use or purpose whatsoever.  Each user agrees to decide if, when and how to use the spreadsheets, does so at his or her sole risk, and is responsible to suitable and applicable verification prior to use.  When using the tools provided on the NIST OWM website, you agree that you are not entitled to rely on any information generated using these worksheets.  You further agree to hold NIST OWM, and any of their partners in the creation of the tools, harmless for loss you might suffer arising out of any inaccuracies in numbers generated by the worksheets.  Under no circumstances shall NIST OWM, or any of their partners that helped create the tools, be liable for any damages, including incidental, special or consequential damages, arising from the use of these spreadsheets or an inability to use them.</t>
  </si>
  <si>
    <t xml:space="preserve">      **  Control Chart Data and Assessment**</t>
  </si>
  <si>
    <t>Unc water temperature,  °C</t>
  </si>
  <si>
    <t>Expanded Unc from Cal. Rpt. (g)</t>
  </si>
  <si>
    <t>Std Dev of Run 1 and Run 2</t>
  </si>
  <si>
    <r>
      <t xml:space="preserve">mL </t>
    </r>
    <r>
      <rPr>
        <sz val="10"/>
        <color rgb="FFFF0000"/>
        <rFont val="Times New Roman"/>
        <family val="1"/>
      </rPr>
      <t>(Enter in Control Chart if S</t>
    </r>
    <r>
      <rPr>
        <vertAlign val="subscript"/>
        <sz val="10"/>
        <color rgb="FFFF0000"/>
        <rFont val="Times New Roman"/>
        <family val="1"/>
      </rPr>
      <t>c</t>
    </r>
    <r>
      <rPr>
        <sz val="10"/>
        <color rgb="FFFF0000"/>
        <rFont val="Times New Roman"/>
        <family val="1"/>
      </rPr>
      <t xml:space="preserve"> or Lab Std)</t>
    </r>
  </si>
  <si>
    <r>
      <t>mL</t>
    </r>
    <r>
      <rPr>
        <sz val="10"/>
        <color rgb="FFFF0000"/>
        <rFont val="Times New Roman"/>
        <family val="1"/>
      </rPr>
      <t xml:space="preserve"> (Enter in Control Chart if S</t>
    </r>
    <r>
      <rPr>
        <vertAlign val="subscript"/>
        <sz val="10"/>
        <color rgb="FFFF0000"/>
        <rFont val="Times New Roman"/>
        <family val="1"/>
      </rPr>
      <t>c</t>
    </r>
    <r>
      <rPr>
        <sz val="10"/>
        <color rgb="FFFF0000"/>
        <rFont val="Times New Roman"/>
        <family val="1"/>
      </rPr>
      <t xml:space="preserve"> or Lab Std)</t>
    </r>
  </si>
  <si>
    <r>
      <t>mL</t>
    </r>
    <r>
      <rPr>
        <sz val="10"/>
        <color rgb="FFFF0000"/>
        <rFont val="Times New Roman"/>
        <family val="1"/>
      </rPr>
      <t xml:space="preserve"> (Enter in Std Dev Chart if no S</t>
    </r>
    <r>
      <rPr>
        <i/>
        <vertAlign val="subscript"/>
        <sz val="10"/>
        <color rgb="FFFF0000"/>
        <rFont val="Tekton Pro Ext"/>
        <family val="2"/>
      </rPr>
      <t>c</t>
    </r>
    <r>
      <rPr>
        <sz val="10"/>
        <color rgb="FFFF0000"/>
        <rFont val="Times New Roman"/>
        <family val="1"/>
      </rPr>
      <t>)</t>
    </r>
  </si>
  <si>
    <t>Meniscus Reading</t>
  </si>
  <si>
    <r>
      <t>O</t>
    </r>
    <r>
      <rPr>
        <vertAlign val="subscript"/>
        <sz val="10"/>
        <rFont val="Times New Roman"/>
        <family val="1"/>
      </rPr>
      <t>4</t>
    </r>
  </si>
  <si>
    <r>
      <t>M</t>
    </r>
    <r>
      <rPr>
        <vertAlign val="subscript"/>
        <sz val="10"/>
        <rFont val="Times New Roman"/>
        <family val="1"/>
      </rPr>
      <t>S1</t>
    </r>
  </si>
  <si>
    <t>Empty or Drained</t>
  </si>
  <si>
    <r>
      <t>M</t>
    </r>
    <r>
      <rPr>
        <vertAlign val="subscript"/>
        <sz val="10"/>
        <rFont val="Times New Roman"/>
        <family val="1"/>
      </rPr>
      <t>S2</t>
    </r>
  </si>
  <si>
    <t>Final Volume at 60 °F:</t>
  </si>
  <si>
    <t>Mass standard(s) data (EMPTY):</t>
  </si>
  <si>
    <t>Mass standard(s) data (FILLED):</t>
  </si>
  <si>
    <t>Reference Water Temperature, °F</t>
  </si>
  <si>
    <t>Cubical Coefficient of Expansion / °F</t>
  </si>
  <si>
    <t>60 °F Reference Temperature</t>
  </si>
  <si>
    <t>GRAVIMETRIC CALIBRATION SOP 14, OPTION B</t>
  </si>
  <si>
    <t>Nominal Volume (gal)</t>
  </si>
  <si>
    <t>Run 1: Volume at 60 °F</t>
  </si>
  <si>
    <t>Run 2: Volume at 60 °F</t>
  </si>
  <si>
    <t>Reference temp 60 °F</t>
  </si>
  <si>
    <t>Accepted Std Dev (converted to mL)</t>
  </si>
  <si>
    <t xml:space="preserve">      **  Calculated Volume at 60 °F Reference**</t>
  </si>
  <si>
    <r>
      <t xml:space="preserve">ID (Note ID; Select for </t>
    </r>
    <r>
      <rPr>
        <b/>
        <sz val="10"/>
        <rFont val="Times New Roman"/>
        <family val="1"/>
      </rPr>
      <t>empty</t>
    </r>
    <r>
      <rPr>
        <sz val="10"/>
        <rFont val="Times New Roman"/>
        <family val="1"/>
      </rPr>
      <t xml:space="preserve"> Load)</t>
    </r>
  </si>
  <si>
    <r>
      <t xml:space="preserve">ID (Note ID; Select for </t>
    </r>
    <r>
      <rPr>
        <b/>
        <sz val="10"/>
        <rFont val="Times New Roman"/>
        <family val="1"/>
      </rPr>
      <t xml:space="preserve">filled </t>
    </r>
    <r>
      <rPr>
        <sz val="10"/>
        <rFont val="Times New Roman"/>
        <family val="1"/>
      </rPr>
      <t>Load)</t>
    </r>
  </si>
  <si>
    <t>gal</t>
  </si>
  <si>
    <r>
      <t>in</t>
    </r>
    <r>
      <rPr>
        <vertAlign val="superscript"/>
        <sz val="10"/>
        <rFont val="Times New Roman"/>
        <family val="1"/>
      </rPr>
      <t>3</t>
    </r>
  </si>
  <si>
    <t>Viscosity</t>
  </si>
  <si>
    <t>NBS Data Set</t>
  </si>
  <si>
    <t>HVO</t>
  </si>
  <si>
    <t>3/6/1986</t>
  </si>
  <si>
    <t>SS</t>
  </si>
  <si>
    <t>P (mm Hg)</t>
  </si>
  <si>
    <t>Units</t>
  </si>
  <si>
    <t>g/cm³</t>
  </si>
  <si>
    <t>mg/cm³</t>
  </si>
  <si>
    <t>Locked Sheet - Data Set 1</t>
  </si>
  <si>
    <t>Locked Sheet - Data Set 2</t>
  </si>
  <si>
    <t>NA</t>
  </si>
  <si>
    <t>1/20/2013</t>
  </si>
  <si>
    <t>Version</t>
  </si>
  <si>
    <t>By</t>
  </si>
  <si>
    <t>Revisions</t>
  </si>
  <si>
    <t>This spreadsheet was originally created by modifying the 3-1 weighing design spreadsheet. It contains the equations from SOP 14 for 1 pt and 2 pt calibrations and for 20 °C and 60 °F reference temperatures.  The Glassware reference is with 1 pt calibration to 20 °C. The 5 Gallon Slicker reference is with a 2 pt calibration and 60 °F. Values were compared to the WA volume spreadsheets, intermediate calculations, and to the example in SOP 14 for the 2 L flask.</t>
  </si>
  <si>
    <t>This spreadsheet must be locally validated before use!</t>
  </si>
  <si>
    <t>Prepared for Volume Metrology Seminar.</t>
  </si>
  <si>
    <t>GRAVMETRIC VOLUME CALIBRATION WORKSHEET</t>
  </si>
  <si>
    <t>Instructions</t>
  </si>
  <si>
    <t>This worksheet is designed to calculate volume using the gravimetric method.</t>
  </si>
  <si>
    <t>Corrections for:</t>
  </si>
  <si>
    <t>Technical Assessment</t>
  </si>
  <si>
    <t>This form is completed for each software file used in the laboratory.  The form may be added as a tab/worksheet to a file/workbook or may be maintained in a separate electronic/paper file/location in the laboratory.</t>
  </si>
  <si>
    <t>Lab:</t>
  </si>
  <si>
    <t>Software Verification &amp; Validation</t>
  </si>
  <si>
    <t>Software Description:</t>
  </si>
  <si>
    <t>Date:</t>
  </si>
  <si>
    <t>Codes</t>
  </si>
  <si>
    <t>Assessment</t>
  </si>
  <si>
    <t>Pass/Fail</t>
  </si>
  <si>
    <t>Evidence</t>
  </si>
  <si>
    <t>A. Software Inspection</t>
  </si>
  <si>
    <t>Spreadsheet is clear and makes sense</t>
  </si>
  <si>
    <t xml:space="preserve">There are instructions for use </t>
  </si>
  <si>
    <t>Instructions and data input appear on the visible portion of the first worksheet</t>
  </si>
  <si>
    <t>Data-entry fields are labeled and color coded (it is recommended to avoid red and green)</t>
  </si>
  <si>
    <t>The Standard Operating Procedure (SOP) used is clearly specified</t>
  </si>
  <si>
    <t>The number of digits to be rounded to is specified</t>
  </si>
  <si>
    <t>The user is warned/notified whenever data-entry fields are left blank</t>
  </si>
  <si>
    <t>Data-entry fields are “blank” when opened, preventing loss of old data and ensuring that old data is not used with the current calculations</t>
  </si>
  <si>
    <t>The software opens at the right location within the file</t>
  </si>
  <si>
    <t>Unused fields/cells are locked</t>
  </si>
  <si>
    <t>Rows/columns that the operator need not see are hidden</t>
  </si>
  <si>
    <t>Unused sheets are removed</t>
  </si>
  <si>
    <t>Worksheets are named appropriately</t>
  </si>
  <si>
    <t>B. Mathematical Specification</t>
  </si>
  <si>
    <t>The correct SOP is used</t>
  </si>
  <si>
    <t>The formulae and methods chosen from that SOP are specified</t>
  </si>
  <si>
    <t>Sources and references for formulae are specified</t>
  </si>
  <si>
    <t>The chosen SOP, its methods, and its formulae, are appropriate to the level of precision/uncertainty</t>
  </si>
  <si>
    <t>C. Code review</t>
  </si>
  <si>
    <t>The formulae in the fields exactly match the SOP</t>
  </si>
  <si>
    <t>Repeated calculations appropriately reference the correct cells</t>
  </si>
  <si>
    <t>Calculations, when tested using standard data or reference test data, show appropriate accuracy</t>
  </si>
  <si>
    <t>Rounding is done at the appropriate locations in the file</t>
  </si>
  <si>
    <t>D. Numerical Stability</t>
  </si>
  <si>
    <t>Calculations are stable as determined by an evaluation that uses large numbers and small differences</t>
  </si>
  <si>
    <t>Fields, therefore their content, are categorized as “Number” and not “General” when appropriate, and vice versa</t>
  </si>
  <si>
    <t>“Number” cells are locked to a limited number of decimal places; this limit is appropriate to the values being used</t>
  </si>
  <si>
    <t>E. Component Testing</t>
  </si>
  <si>
    <t>Each macro used is functional</t>
  </si>
  <si>
    <t>Each command/button is functional</t>
  </si>
  <si>
    <t>Combinations of interdependent macros are functional</t>
  </si>
  <si>
    <t>Plotted graphs are accurate</t>
  </si>
  <si>
    <t>Worksheets/reports print properly, if needed to</t>
  </si>
  <si>
    <t>Conditional (color and non-color) formatting is functional</t>
  </si>
  <si>
    <t>F. Numerical Reference</t>
  </si>
  <si>
    <t>Look-up tables and lists match the latest calibration report.</t>
  </si>
  <si>
    <t>Uncertainties match the latest Scope</t>
  </si>
  <si>
    <t>Values that reference another workbook or spreadsheet are dated</t>
  </si>
  <si>
    <t>When a master list’s date is updated, the file references (A) an old value, (B) a default value, (C) displays zero or (D) an error message, as desired by the user</t>
  </si>
  <si>
    <t>G. Embedded Data Evaluation</t>
  </si>
  <si>
    <t>Embedded data (conversion factors, reference values, etc) is correct</t>
  </si>
  <si>
    <t>The evaluation of the embedded data is dated and documented</t>
  </si>
  <si>
    <t>H. Back-to-Back Testing</t>
  </si>
  <si>
    <t>Newer spreadsheets and older spreadsheets agree down to the level of intermediate calculations; this evaluation is dated and documented</t>
  </si>
  <si>
    <t>I. Analysis With Out Computer Assistance</t>
  </si>
  <si>
    <t>Hand calculations agree with those generated by the spreadsheet, or if they disagree, the differences are significantly smaller than the reported uncertainty</t>
  </si>
  <si>
    <t>J. Security</t>
  </si>
  <si>
    <t>Equation and calculation cells are protected against inadvertent editing</t>
  </si>
  <si>
    <t>Cells are locked in place; they cannot be moved/dragged</t>
  </si>
  <si>
    <t>Confidentiality of passwords is appropriate</t>
  </si>
  <si>
    <t>Files are backed up automatically</t>
  </si>
  <si>
    <t>Additional back-up is available at alternate facilities</t>
  </si>
  <si>
    <t>Files on network drives cannot be accidentally deleted</t>
  </si>
  <si>
    <t>Lists for Drop Downs and Lookups.  Do NOT Delete.</t>
  </si>
  <si>
    <t>Acceptable 
Units</t>
  </si>
  <si>
    <t>Description</t>
  </si>
  <si>
    <t>Type</t>
  </si>
  <si>
    <t>Probability</t>
  </si>
  <si>
    <t>Divisor</t>
  </si>
  <si>
    <t>blank</t>
  </si>
  <si>
    <t>Normal, 1s</t>
  </si>
  <si>
    <t>µg</t>
  </si>
  <si>
    <t>microgram</t>
  </si>
  <si>
    <t>Normal, 2s</t>
  </si>
  <si>
    <t>mg</t>
  </si>
  <si>
    <t>milligram</t>
  </si>
  <si>
    <t>Normal, 3s</t>
  </si>
  <si>
    <t>Norm@99%</t>
  </si>
  <si>
    <t>kg</t>
  </si>
  <si>
    <t>kilogram</t>
  </si>
  <si>
    <t>µlb</t>
  </si>
  <si>
    <t>Triangular</t>
  </si>
  <si>
    <t>lb</t>
  </si>
  <si>
    <t>pound</t>
  </si>
  <si>
    <t>U-Shaped</t>
  </si>
  <si>
    <t>in</t>
  </si>
  <si>
    <t>inch</t>
  </si>
  <si>
    <t>Rect 1/2</t>
  </si>
  <si>
    <t>in²</t>
  </si>
  <si>
    <t>square inch</t>
  </si>
  <si>
    <r>
      <t>in</t>
    </r>
    <r>
      <rPr>
        <sz val="10"/>
        <rFont val="Times New Roman"/>
        <family val="1"/>
      </rPr>
      <t>³</t>
    </r>
  </si>
  <si>
    <t>cubic inch</t>
  </si>
  <si>
    <t>pt</t>
  </si>
  <si>
    <t>pint</t>
  </si>
  <si>
    <t>qt</t>
  </si>
  <si>
    <t>quart</t>
  </si>
  <si>
    <t>gallon</t>
  </si>
  <si>
    <t>milliliter</t>
  </si>
  <si>
    <t>L</t>
  </si>
  <si>
    <t>liter</t>
  </si>
  <si>
    <t>nm</t>
  </si>
  <si>
    <t>nanometer</t>
  </si>
  <si>
    <t>mm</t>
  </si>
  <si>
    <t>millimeter</t>
  </si>
  <si>
    <t>cm</t>
  </si>
  <si>
    <t>centimeter</t>
  </si>
  <si>
    <t>cm²</t>
  </si>
  <si>
    <t>square centimeter</t>
  </si>
  <si>
    <t>cm³</t>
  </si>
  <si>
    <t>cubic centimeter</t>
  </si>
  <si>
    <t>m</t>
  </si>
  <si>
    <t>meter</t>
  </si>
  <si>
    <t>m²</t>
  </si>
  <si>
    <t>square meter</t>
  </si>
  <si>
    <t>m³</t>
  </si>
  <si>
    <t>cubic meter</t>
  </si>
  <si>
    <t>°F</t>
  </si>
  <si>
    <t>degrees Fahrenheit</t>
  </si>
  <si>
    <t>K</t>
  </si>
  <si>
    <t>Kelvin</t>
  </si>
  <si>
    <t>fl dr</t>
  </si>
  <si>
    <t>fluid drams</t>
  </si>
  <si>
    <t>fl oz</t>
  </si>
  <si>
    <t>Fluid ounce(s)</t>
  </si>
  <si>
    <t>ft</t>
  </si>
  <si>
    <t>foot</t>
  </si>
  <si>
    <t>Pascal</t>
  </si>
  <si>
    <t>kPa</t>
  </si>
  <si>
    <t>Kilopascal</t>
  </si>
  <si>
    <t>s</t>
  </si>
  <si>
    <t>second</t>
  </si>
  <si>
    <t>min</t>
  </si>
  <si>
    <t>minute</t>
  </si>
  <si>
    <t>h</t>
  </si>
  <si>
    <t>hour</t>
  </si>
  <si>
    <t>Ampere</t>
  </si>
  <si>
    <t>coulomb</t>
  </si>
  <si>
    <t>V</t>
  </si>
  <si>
    <t>volt</t>
  </si>
  <si>
    <t>J</t>
  </si>
  <si>
    <t>joule</t>
  </si>
  <si>
    <t>W</t>
  </si>
  <si>
    <t>watt</t>
  </si>
  <si>
    <t>Hz</t>
  </si>
  <si>
    <t>hertz</t>
  </si>
  <si>
    <t>H</t>
  </si>
  <si>
    <t>henry</t>
  </si>
  <si>
    <t>F</t>
  </si>
  <si>
    <t>farad</t>
  </si>
  <si>
    <t>Ω</t>
  </si>
  <si>
    <t>ohm</t>
  </si>
  <si>
    <t>S</t>
  </si>
  <si>
    <t>siemens</t>
  </si>
  <si>
    <t>Wb</t>
  </si>
  <si>
    <t>weber</t>
  </si>
  <si>
    <t>T</t>
  </si>
  <si>
    <t>tesla</t>
  </si>
  <si>
    <t>A/m</t>
  </si>
  <si>
    <t>Ampere per meter (magnetic field strength)</t>
  </si>
  <si>
    <t>cd</t>
  </si>
  <si>
    <t>candela</t>
  </si>
  <si>
    <t>lm</t>
  </si>
  <si>
    <t>lumen</t>
  </si>
  <si>
    <t>lx</t>
  </si>
  <si>
    <t>lux</t>
  </si>
  <si>
    <t>cd/m²</t>
  </si>
  <si>
    <t>candela per square meter</t>
  </si>
  <si>
    <t>rad</t>
  </si>
  <si>
    <t>radian</t>
  </si>
  <si>
    <t>kg/m³</t>
  </si>
  <si>
    <t>kilogram per cubic meter</t>
  </si>
  <si>
    <t>grams per cubic centimeter</t>
  </si>
  <si>
    <t>kg/L</t>
  </si>
  <si>
    <t>kilograms per liter</t>
  </si>
  <si>
    <t>m/s</t>
  </si>
  <si>
    <t>meters per second</t>
  </si>
  <si>
    <t>km/h</t>
  </si>
  <si>
    <t>kilometers per hour</t>
  </si>
  <si>
    <t>m/s²</t>
  </si>
  <si>
    <t>meter per second squared</t>
  </si>
  <si>
    <t>m²/s</t>
  </si>
  <si>
    <t>meter squared per second</t>
  </si>
  <si>
    <t>Mass ID</t>
  </si>
  <si>
    <t>Nominal (g)</t>
  </si>
  <si>
    <t>Mass Correction (g)</t>
  </si>
  <si>
    <r>
      <rPr>
        <i/>
        <sz val="12"/>
        <rFont val="Times New Roman"/>
        <family val="1"/>
      </rPr>
      <t>k</t>
    </r>
    <r>
      <rPr>
        <sz val="12"/>
        <rFont val="Times New Roman"/>
        <family val="1"/>
      </rPr>
      <t xml:space="preserve"> factor</t>
    </r>
  </si>
  <si>
    <r>
      <t>Density (g/cm</t>
    </r>
    <r>
      <rPr>
        <vertAlign val="superscript"/>
        <sz val="12"/>
        <rFont val="Times New Roman"/>
        <family val="1"/>
      </rPr>
      <t>3</t>
    </r>
    <r>
      <rPr>
        <sz val="12"/>
        <rFont val="Times New Roman"/>
        <family val="1"/>
      </rPr>
      <t>)</t>
    </r>
  </si>
  <si>
    <r>
      <t>Volume (cm</t>
    </r>
    <r>
      <rPr>
        <vertAlign val="superscript"/>
        <sz val="12"/>
        <rFont val="Times New Roman"/>
        <family val="1"/>
      </rPr>
      <t>3</t>
    </r>
    <r>
      <rPr>
        <sz val="12"/>
        <rFont val="Times New Roman"/>
        <family val="1"/>
      </rPr>
      <t>)</t>
    </r>
  </si>
  <si>
    <t>Effective Density</t>
  </si>
  <si>
    <t>Mass
(g)</t>
  </si>
  <si>
    <r>
      <t>Density
(g/cm</t>
    </r>
    <r>
      <rPr>
        <sz val="11"/>
        <color indexed="8"/>
        <rFont val="Calibri"/>
        <family val="2"/>
      </rPr>
      <t>³</t>
    </r>
    <r>
      <rPr>
        <sz val="11"/>
        <color theme="1"/>
        <rFont val="Calibri"/>
        <family val="2"/>
        <scheme val="minor"/>
      </rPr>
      <t>)</t>
    </r>
  </si>
  <si>
    <r>
      <t>Calculated Volume
(cm</t>
    </r>
    <r>
      <rPr>
        <sz val="11"/>
        <color indexed="8"/>
        <rFont val="Calibri"/>
        <family val="2"/>
      </rPr>
      <t>³</t>
    </r>
    <r>
      <rPr>
        <sz val="11"/>
        <color theme="1"/>
        <rFont val="Calibri"/>
        <family val="2"/>
        <scheme val="minor"/>
      </rPr>
      <t>)</t>
    </r>
  </si>
  <si>
    <t>Weight #1</t>
  </si>
  <si>
    <t>Weight #2</t>
  </si>
  <si>
    <t>Weight #3</t>
  </si>
  <si>
    <t>Weight #4</t>
  </si>
  <si>
    <t>Weight #5</t>
  </si>
  <si>
    <t>Weight #6</t>
  </si>
  <si>
    <t>Weight #7</t>
  </si>
  <si>
    <t>Weight #8</t>
  </si>
  <si>
    <t>Weight #9</t>
  </si>
  <si>
    <t>Weight #10</t>
  </si>
  <si>
    <t>Total Mass
(g)</t>
  </si>
  <si>
    <r>
      <t>Calculated
Effective Density
(g/cm</t>
    </r>
    <r>
      <rPr>
        <b/>
        <sz val="12"/>
        <color indexed="8"/>
        <rFont val="Calibri"/>
        <family val="2"/>
      </rPr>
      <t>³</t>
    </r>
    <r>
      <rPr>
        <b/>
        <sz val="12"/>
        <color indexed="8"/>
        <rFont val="Calibri"/>
        <family val="2"/>
      </rPr>
      <t>)</t>
    </r>
  </si>
  <si>
    <r>
      <t>Total Calculated Volume
(cm</t>
    </r>
    <r>
      <rPr>
        <b/>
        <sz val="12"/>
        <color indexed="8"/>
        <rFont val="Calibri"/>
        <family val="2"/>
      </rPr>
      <t>³</t>
    </r>
    <r>
      <rPr>
        <b/>
        <sz val="12"/>
        <color indexed="8"/>
        <rFont val="Calibri"/>
        <family val="2"/>
      </rPr>
      <t>)</t>
    </r>
  </si>
  <si>
    <t>d</t>
  </si>
  <si>
    <t>df</t>
  </si>
  <si>
    <r>
      <t xml:space="preserve">Uncertainty </t>
    </r>
    <r>
      <rPr>
        <b/>
        <sz val="12"/>
        <color indexed="8"/>
        <rFont val="Calibri"/>
        <family val="2"/>
      </rPr>
      <t>(k=2)
of Equation
 ± µg/cm</t>
    </r>
    <r>
      <rPr>
        <b/>
        <vertAlign val="superscript"/>
        <sz val="12"/>
        <color indexed="8"/>
        <rFont val="Calibri"/>
        <family val="2"/>
      </rPr>
      <t>3</t>
    </r>
  </si>
  <si>
    <r>
      <t>Bias as compared to CIPM2007
(µg/cm</t>
    </r>
    <r>
      <rPr>
        <b/>
        <vertAlign val="superscript"/>
        <sz val="12"/>
        <color indexed="8"/>
        <rFont val="Calibri"/>
        <family val="2"/>
      </rPr>
      <t>3</t>
    </r>
    <r>
      <rPr>
        <b/>
        <sz val="12"/>
        <color indexed="8"/>
        <rFont val="Calibri"/>
        <family val="2"/>
      </rPr>
      <t>)</t>
    </r>
  </si>
  <si>
    <t>Source</t>
  </si>
  <si>
    <r>
      <t>Air Density
mg/cm</t>
    </r>
    <r>
      <rPr>
        <b/>
        <vertAlign val="superscript"/>
        <sz val="12"/>
        <color indexed="8"/>
        <rFont val="Calibri"/>
        <family val="2"/>
      </rPr>
      <t>3</t>
    </r>
  </si>
  <si>
    <t xml:space="preserve">34 </t>
  </si>
  <si>
    <t>Lembeck 1974?</t>
  </si>
  <si>
    <t>1.14 (summer) 1.15 (winter)
 (Oklahoma)</t>
  </si>
  <si>
    <t xml:space="preserve">2 </t>
  </si>
  <si>
    <t>TN 577 1971</t>
  </si>
  <si>
    <t xml:space="preserve">0.35 </t>
  </si>
  <si>
    <t>SOP 2, Option A (F Jones 1978)</t>
  </si>
  <si>
    <t xml:space="preserve">0.026 </t>
  </si>
  <si>
    <t>CIPM 1981</t>
  </si>
  <si>
    <t>SOP 2, Option B, 2003 (CIPM 1981/91)</t>
  </si>
  <si>
    <t>SOP 2, Option B, 2012 (CIPM 2007)</t>
  </si>
  <si>
    <r>
      <t xml:space="preserve">CIPM 2007
</t>
    </r>
    <r>
      <rPr>
        <sz val="12"/>
        <color indexed="8"/>
        <rFont val="Calibri"/>
        <family val="2"/>
      </rPr>
      <t>entire formula in one cell</t>
    </r>
  </si>
  <si>
    <r>
      <t>M</t>
    </r>
    <r>
      <rPr>
        <vertAlign val="subscript"/>
        <sz val="14"/>
        <rFont val="Arial"/>
        <family val="2"/>
      </rPr>
      <t>a</t>
    </r>
  </si>
  <si>
    <t>R</t>
  </si>
  <si>
    <t>Kelvin (T)</t>
  </si>
  <si>
    <r>
      <t>x</t>
    </r>
    <r>
      <rPr>
        <vertAlign val="subscript"/>
        <sz val="14"/>
        <rFont val="Arial"/>
        <family val="2"/>
      </rPr>
      <t>v</t>
    </r>
  </si>
  <si>
    <t>Z</t>
  </si>
  <si>
    <r>
      <t>g mol</t>
    </r>
    <r>
      <rPr>
        <vertAlign val="superscript"/>
        <sz val="14"/>
        <rFont val="Arial"/>
        <family val="2"/>
      </rPr>
      <t>-1</t>
    </r>
  </si>
  <si>
    <r>
      <t>J mol</t>
    </r>
    <r>
      <rPr>
        <vertAlign val="superscript"/>
        <sz val="14"/>
        <rFont val="Arial"/>
        <family val="2"/>
      </rPr>
      <t>-1</t>
    </r>
    <r>
      <rPr>
        <sz val="14"/>
        <color indexed="8"/>
        <rFont val="Calibri"/>
        <family val="2"/>
      </rPr>
      <t xml:space="preserve"> K</t>
    </r>
    <r>
      <rPr>
        <vertAlign val="superscript"/>
        <sz val="14"/>
        <rFont val="Arial"/>
        <family val="2"/>
      </rPr>
      <t>-1</t>
    </r>
  </si>
  <si>
    <r>
      <t>K = 273.15+</t>
    </r>
    <r>
      <rPr>
        <vertAlign val="superscript"/>
        <sz val="14"/>
        <rFont val="Arial"/>
        <family val="2"/>
      </rPr>
      <t>o</t>
    </r>
    <r>
      <rPr>
        <sz val="14"/>
        <color indexed="8"/>
        <rFont val="Calibri"/>
        <family val="2"/>
      </rPr>
      <t>C</t>
    </r>
  </si>
  <si>
    <t>101325 Pa = 760 mmHg</t>
  </si>
  <si>
    <t>a(0)</t>
  </si>
  <si>
    <t>a(1)</t>
  </si>
  <si>
    <t>a(2)</t>
  </si>
  <si>
    <t>b(0)</t>
  </si>
  <si>
    <t>b(1)</t>
  </si>
  <si>
    <t>c(0)</t>
  </si>
  <si>
    <t>c(1)</t>
  </si>
  <si>
    <t>e</t>
  </si>
  <si>
    <t>Equation Components</t>
  </si>
  <si>
    <t>Reference Data</t>
  </si>
  <si>
    <r>
      <t>These Parameters
are close to
Normal Air (1.2 mg/cm</t>
    </r>
    <r>
      <rPr>
        <i/>
        <vertAlign val="superscript"/>
        <sz val="12"/>
        <color indexed="8"/>
        <rFont val="Calibri"/>
        <family val="2"/>
      </rPr>
      <t>3</t>
    </r>
    <r>
      <rPr>
        <i/>
        <sz val="12"/>
        <color indexed="8"/>
        <rFont val="Calibri"/>
        <family val="2"/>
      </rPr>
      <t>)
using CIPM2007</t>
    </r>
  </si>
  <si>
    <r>
      <t>Temp (</t>
    </r>
    <r>
      <rPr>
        <b/>
        <vertAlign val="superscript"/>
        <sz val="14"/>
        <color indexed="8"/>
        <rFont val="Calibri"/>
        <family val="2"/>
      </rPr>
      <t>o</t>
    </r>
    <r>
      <rPr>
        <b/>
        <sz val="14"/>
        <color indexed="8"/>
        <rFont val="Calibri"/>
        <family val="2"/>
      </rPr>
      <t>C)</t>
    </r>
  </si>
  <si>
    <t>RH (%)</t>
  </si>
  <si>
    <t>Values</t>
  </si>
  <si>
    <t>u(Pressure)</t>
  </si>
  <si>
    <t>u(Temperature)</t>
  </si>
  <si>
    <t>u(Relative Humidity)</t>
  </si>
  <si>
    <t>u(Equation)</t>
  </si>
  <si>
    <t>Measurement Equation Inputs</t>
  </si>
  <si>
    <t>Temperature</t>
  </si>
  <si>
    <t>Relative Humidity</t>
  </si>
  <si>
    <t>Equation</t>
  </si>
  <si>
    <t>Result</t>
  </si>
  <si>
    <r>
      <t>c</t>
    </r>
    <r>
      <rPr>
        <b/>
        <i/>
        <vertAlign val="subscript"/>
        <sz val="9"/>
        <rFont val="Arial"/>
        <family val="2"/>
      </rPr>
      <t>i</t>
    </r>
    <r>
      <rPr>
        <b/>
        <i/>
        <sz val="9"/>
        <rFont val="Arial"/>
        <family val="2"/>
      </rPr>
      <t>u</t>
    </r>
    <r>
      <rPr>
        <b/>
        <i/>
        <vertAlign val="subscript"/>
        <sz val="9"/>
        <rFont val="Arial"/>
        <family val="2"/>
      </rPr>
      <t>i</t>
    </r>
  </si>
  <si>
    <r>
      <t>u</t>
    </r>
    <r>
      <rPr>
        <b/>
        <vertAlign val="subscript"/>
        <sz val="10"/>
        <rFont val="Arial"/>
        <family val="2"/>
      </rPr>
      <t>c</t>
    </r>
  </si>
  <si>
    <r>
      <t>(</t>
    </r>
    <r>
      <rPr>
        <b/>
        <i/>
        <sz val="9"/>
        <rFont val="Arial"/>
        <family val="2"/>
      </rPr>
      <t>c</t>
    </r>
    <r>
      <rPr>
        <b/>
        <i/>
        <vertAlign val="subscript"/>
        <sz val="9"/>
        <rFont val="Arial"/>
        <family val="2"/>
      </rPr>
      <t>i</t>
    </r>
    <r>
      <rPr>
        <b/>
        <i/>
        <sz val="9"/>
        <rFont val="Arial"/>
        <family val="2"/>
      </rPr>
      <t>u</t>
    </r>
    <r>
      <rPr>
        <b/>
        <i/>
        <vertAlign val="subscript"/>
        <sz val="9"/>
        <rFont val="Arial"/>
        <family val="2"/>
      </rPr>
      <t>i</t>
    </r>
    <r>
      <rPr>
        <b/>
        <sz val="9"/>
        <rFont val="Arial"/>
        <family val="2"/>
      </rPr>
      <t>)</t>
    </r>
    <r>
      <rPr>
        <b/>
        <vertAlign val="superscript"/>
        <sz val="9"/>
        <rFont val="Arial"/>
        <family val="2"/>
      </rPr>
      <t>2</t>
    </r>
  </si>
  <si>
    <r>
      <t>&lt;--rel (</t>
    </r>
    <r>
      <rPr>
        <i/>
        <sz val="10"/>
        <color indexed="10"/>
        <rFont val="Arial"/>
        <family val="2"/>
      </rPr>
      <t>c</t>
    </r>
    <r>
      <rPr>
        <i/>
        <vertAlign val="subscript"/>
        <sz val="10"/>
        <color indexed="10"/>
        <rFont val="Arial"/>
        <family val="2"/>
      </rPr>
      <t>i</t>
    </r>
    <r>
      <rPr>
        <i/>
        <sz val="10"/>
        <color indexed="10"/>
        <rFont val="Arial"/>
        <family val="2"/>
      </rPr>
      <t>u</t>
    </r>
    <r>
      <rPr>
        <i/>
        <vertAlign val="subscript"/>
        <sz val="10"/>
        <color indexed="10"/>
        <rFont val="Arial"/>
        <family val="2"/>
      </rPr>
      <t>i</t>
    </r>
    <r>
      <rPr>
        <sz val="10"/>
        <color indexed="10"/>
        <rFont val="Arial"/>
        <family val="2"/>
      </rPr>
      <t>)</t>
    </r>
    <r>
      <rPr>
        <vertAlign val="superscript"/>
        <sz val="10"/>
        <color indexed="10"/>
        <rFont val="Arial"/>
        <family val="2"/>
      </rPr>
      <t>2</t>
    </r>
  </si>
  <si>
    <t>k</t>
  </si>
  <si>
    <r>
      <t>c</t>
    </r>
    <r>
      <rPr>
        <b/>
        <i/>
        <vertAlign val="subscript"/>
        <sz val="9"/>
        <color indexed="12"/>
        <rFont val="Arial"/>
        <family val="2"/>
      </rPr>
      <t>i</t>
    </r>
  </si>
  <si>
    <r>
      <t>S</t>
    </r>
    <r>
      <rPr>
        <sz val="10"/>
        <color indexed="10"/>
        <rFont val="Arial"/>
        <family val="2"/>
      </rPr>
      <t>rel (</t>
    </r>
    <r>
      <rPr>
        <i/>
        <sz val="10"/>
        <color indexed="10"/>
        <rFont val="Arial"/>
        <family val="2"/>
      </rPr>
      <t>c</t>
    </r>
    <r>
      <rPr>
        <i/>
        <vertAlign val="subscript"/>
        <sz val="10"/>
        <color indexed="10"/>
        <rFont val="Arial"/>
        <family val="2"/>
      </rPr>
      <t>i</t>
    </r>
    <r>
      <rPr>
        <i/>
        <sz val="10"/>
        <color indexed="10"/>
        <rFont val="Arial"/>
        <family val="2"/>
      </rPr>
      <t>u</t>
    </r>
    <r>
      <rPr>
        <i/>
        <vertAlign val="subscript"/>
        <sz val="10"/>
        <color indexed="10"/>
        <rFont val="Arial"/>
        <family val="2"/>
      </rPr>
      <t>i</t>
    </r>
    <r>
      <rPr>
        <sz val="10"/>
        <color indexed="10"/>
        <rFont val="Arial"/>
        <family val="2"/>
      </rPr>
      <t>)</t>
    </r>
    <r>
      <rPr>
        <vertAlign val="superscript"/>
        <sz val="10"/>
        <color indexed="10"/>
        <rFont val="Arial"/>
        <family val="2"/>
      </rPr>
      <t>2</t>
    </r>
  </si>
  <si>
    <t>U</t>
  </si>
  <si>
    <r>
      <t>U</t>
    </r>
    <r>
      <rPr>
        <vertAlign val="subscript"/>
        <sz val="11"/>
        <rFont val="Arial"/>
        <family val="2"/>
      </rPr>
      <t>relative</t>
    </r>
    <r>
      <rPr>
        <sz val="9"/>
        <rFont val="Arial"/>
        <family val="2"/>
      </rPr>
      <t>, %</t>
    </r>
  </si>
  <si>
    <r>
      <t xml:space="preserve">Uncertainty </t>
    </r>
    <r>
      <rPr>
        <b/>
        <sz val="11"/>
        <color indexed="8"/>
        <rFont val="Calibri"/>
        <family val="2"/>
      </rPr>
      <t>(k=2)
of Equation
 ± µg/cm</t>
    </r>
    <r>
      <rPr>
        <b/>
        <vertAlign val="superscript"/>
        <sz val="11"/>
        <color indexed="8"/>
        <rFont val="Calibri"/>
        <family val="2"/>
      </rPr>
      <t>3</t>
    </r>
  </si>
  <si>
    <r>
      <t>Bias as compared to CIPM
(µg/cm</t>
    </r>
    <r>
      <rPr>
        <b/>
        <vertAlign val="superscript"/>
        <sz val="11"/>
        <color indexed="8"/>
        <rFont val="Calibri"/>
        <family val="2"/>
      </rPr>
      <t>3</t>
    </r>
    <r>
      <rPr>
        <b/>
        <sz val="11"/>
        <color indexed="8"/>
        <rFont val="Calibri"/>
        <family val="2"/>
      </rPr>
      <t>)</t>
    </r>
  </si>
  <si>
    <r>
      <t>Water Density
g/cm</t>
    </r>
    <r>
      <rPr>
        <b/>
        <vertAlign val="superscript"/>
        <sz val="11"/>
        <color indexed="8"/>
        <rFont val="Calibri"/>
        <family val="2"/>
      </rPr>
      <t>3</t>
    </r>
  </si>
  <si>
    <r>
      <t xml:space="preserve">H. Wagenbreth and W. Blanke, 
PTB - Mitteilingen 6-71. 
HB 145, NISTIR 6969 2012 </t>
    </r>
    <r>
      <rPr>
        <b/>
        <sz val="11"/>
        <color indexed="10"/>
        <rFont val="Calibri"/>
        <family val="2"/>
      </rPr>
      <t>(Air Free) 20 °C</t>
    </r>
  </si>
  <si>
    <t>0.998 202 00</t>
  </si>
  <si>
    <r>
      <t xml:space="preserve">Jones Harris
NIST Jrnl of Res (1992) </t>
    </r>
    <r>
      <rPr>
        <b/>
        <sz val="11"/>
        <color indexed="10"/>
        <rFont val="Calibri"/>
        <family val="2"/>
      </rPr>
      <t>(Air Saturated)</t>
    </r>
  </si>
  <si>
    <r>
      <t xml:space="preserve">GLP 10, NISTIR 7383 (2006) 
Patterson-Morris (1994) </t>
    </r>
    <r>
      <rPr>
        <b/>
        <sz val="11"/>
        <color indexed="10"/>
        <rFont val="Calibri"/>
        <family val="2"/>
      </rPr>
      <t>(Air Free)</t>
    </r>
  </si>
  <si>
    <r>
      <t xml:space="preserve">GLP 10, NISTIR 7383 (2012, 2013)
Tanaka, et al (2001) </t>
    </r>
    <r>
      <rPr>
        <b/>
        <sz val="11"/>
        <color indexed="10"/>
        <rFont val="Calibri"/>
        <family val="2"/>
      </rPr>
      <t>(Air Free)</t>
    </r>
  </si>
  <si>
    <r>
      <t xml:space="preserve">GLP 10, NISTIR 7383 (2012, 2013)
Tanaka, et al (2001) </t>
    </r>
    <r>
      <rPr>
        <b/>
        <sz val="11"/>
        <color indexed="10"/>
        <rFont val="Calibri"/>
        <family val="2"/>
      </rPr>
      <t>(Air Saturated)</t>
    </r>
  </si>
  <si>
    <r>
      <t xml:space="preserve">CIPM 2001, Tanaka, et al
</t>
    </r>
    <r>
      <rPr>
        <sz val="11"/>
        <color indexed="8"/>
        <rFont val="Calibri"/>
        <family val="2"/>
      </rPr>
      <t>Note: Air saturated needs to be used in the lab.</t>
    </r>
  </si>
  <si>
    <t>Reference Data 
Set (°C)</t>
  </si>
  <si>
    <r>
      <t>W-B 
(HB 145, 1986)
Air Free (g/cm</t>
    </r>
    <r>
      <rPr>
        <b/>
        <vertAlign val="superscript"/>
        <sz val="11"/>
        <color indexed="8"/>
        <rFont val="Calibri"/>
        <family val="2"/>
      </rPr>
      <t>3</t>
    </r>
    <r>
      <rPr>
        <b/>
        <sz val="11"/>
        <color indexed="8"/>
        <rFont val="Calibri"/>
        <family val="2"/>
      </rPr>
      <t>)</t>
    </r>
  </si>
  <si>
    <r>
      <t>Jones-Harris (1992)
Air Saturated (g/cm</t>
    </r>
    <r>
      <rPr>
        <b/>
        <vertAlign val="superscript"/>
        <sz val="11"/>
        <color indexed="8"/>
        <rFont val="Calibri"/>
        <family val="2"/>
      </rPr>
      <t>3</t>
    </r>
    <r>
      <rPr>
        <b/>
        <sz val="11"/>
        <color indexed="8"/>
        <rFont val="Calibri"/>
        <family val="2"/>
      </rPr>
      <t>)</t>
    </r>
  </si>
  <si>
    <r>
      <t>Patterson-Morris
Air Free (g/cm</t>
    </r>
    <r>
      <rPr>
        <b/>
        <vertAlign val="superscript"/>
        <sz val="11"/>
        <color indexed="8"/>
        <rFont val="Calibri"/>
        <family val="2"/>
      </rPr>
      <t>3</t>
    </r>
    <r>
      <rPr>
        <b/>
        <sz val="11"/>
        <color indexed="8"/>
        <rFont val="Calibri"/>
        <family val="2"/>
      </rPr>
      <t>)</t>
    </r>
  </si>
  <si>
    <r>
      <t>Tanaka, et al 
Air Free (g/cm</t>
    </r>
    <r>
      <rPr>
        <b/>
        <vertAlign val="superscript"/>
        <sz val="11"/>
        <color indexed="8"/>
        <rFont val="Calibri"/>
        <family val="2"/>
      </rPr>
      <t>3</t>
    </r>
    <r>
      <rPr>
        <b/>
        <sz val="11"/>
        <color indexed="8"/>
        <rFont val="Calibri"/>
        <family val="2"/>
      </rPr>
      <t>)</t>
    </r>
  </si>
  <si>
    <r>
      <t>Tanaka, et al 
Air Saturated (g/cm</t>
    </r>
    <r>
      <rPr>
        <b/>
        <vertAlign val="superscript"/>
        <sz val="11"/>
        <color indexed="8"/>
        <rFont val="Calibri"/>
        <family val="2"/>
      </rPr>
      <t>3</t>
    </r>
    <r>
      <rPr>
        <b/>
        <sz val="11"/>
        <color indexed="8"/>
        <rFont val="Calibri"/>
        <family val="2"/>
      </rPr>
      <t>)</t>
    </r>
  </si>
  <si>
    <t>0.999 699</t>
  </si>
  <si>
    <t>0.999 098</t>
  </si>
  <si>
    <t>0.998 202</t>
  </si>
  <si>
    <t>0.997 043</t>
  </si>
  <si>
    <t>Using Tanaka, et al Equation</t>
  </si>
  <si>
    <r>
      <t>Temp (</t>
    </r>
    <r>
      <rPr>
        <b/>
        <vertAlign val="superscript"/>
        <sz val="12"/>
        <color indexed="8"/>
        <rFont val="Calibri"/>
        <family val="2"/>
      </rPr>
      <t>o</t>
    </r>
    <r>
      <rPr>
        <b/>
        <sz val="12"/>
        <color indexed="8"/>
        <rFont val="Calibri"/>
        <family val="2"/>
      </rPr>
      <t>C)</t>
    </r>
  </si>
  <si>
    <t>u(AFvsAS)</t>
  </si>
  <si>
    <t>u(Temp)</t>
  </si>
  <si>
    <t>AFvsAS</t>
  </si>
  <si>
    <t>Temp</t>
  </si>
  <si>
    <r>
      <t>c</t>
    </r>
    <r>
      <rPr>
        <b/>
        <i/>
        <vertAlign val="subscript"/>
        <sz val="14"/>
        <rFont val="Arial"/>
        <family val="2"/>
      </rPr>
      <t>i</t>
    </r>
    <r>
      <rPr>
        <b/>
        <i/>
        <sz val="14"/>
        <rFont val="Arial"/>
        <family val="2"/>
      </rPr>
      <t>u</t>
    </r>
    <r>
      <rPr>
        <b/>
        <i/>
        <vertAlign val="subscript"/>
        <sz val="14"/>
        <rFont val="Arial"/>
        <family val="2"/>
      </rPr>
      <t>i</t>
    </r>
  </si>
  <si>
    <r>
      <t>u</t>
    </r>
    <r>
      <rPr>
        <b/>
        <vertAlign val="subscript"/>
        <sz val="14"/>
        <rFont val="Arial"/>
        <family val="2"/>
      </rPr>
      <t>c</t>
    </r>
  </si>
  <si>
    <r>
      <t>(</t>
    </r>
    <r>
      <rPr>
        <b/>
        <i/>
        <sz val="14"/>
        <rFont val="Arial"/>
        <family val="2"/>
      </rPr>
      <t>c</t>
    </r>
    <r>
      <rPr>
        <b/>
        <i/>
        <vertAlign val="subscript"/>
        <sz val="14"/>
        <rFont val="Arial"/>
        <family val="2"/>
      </rPr>
      <t>i</t>
    </r>
    <r>
      <rPr>
        <b/>
        <i/>
        <sz val="14"/>
        <rFont val="Arial"/>
        <family val="2"/>
      </rPr>
      <t>u</t>
    </r>
    <r>
      <rPr>
        <b/>
        <i/>
        <vertAlign val="subscript"/>
        <sz val="14"/>
        <rFont val="Arial"/>
        <family val="2"/>
      </rPr>
      <t>i</t>
    </r>
    <r>
      <rPr>
        <b/>
        <sz val="14"/>
        <rFont val="Arial"/>
        <family val="2"/>
      </rPr>
      <t>)</t>
    </r>
    <r>
      <rPr>
        <b/>
        <vertAlign val="superscript"/>
        <sz val="14"/>
        <rFont val="Arial"/>
        <family val="2"/>
      </rPr>
      <t>2</t>
    </r>
  </si>
  <si>
    <r>
      <t>&lt;--rel (</t>
    </r>
    <r>
      <rPr>
        <i/>
        <sz val="14"/>
        <color indexed="10"/>
        <rFont val="Arial"/>
        <family val="2"/>
      </rPr>
      <t>c</t>
    </r>
    <r>
      <rPr>
        <i/>
        <vertAlign val="subscript"/>
        <sz val="14"/>
        <color indexed="10"/>
        <rFont val="Arial"/>
        <family val="2"/>
      </rPr>
      <t>i</t>
    </r>
    <r>
      <rPr>
        <i/>
        <sz val="14"/>
        <color indexed="10"/>
        <rFont val="Arial"/>
        <family val="2"/>
      </rPr>
      <t>u</t>
    </r>
    <r>
      <rPr>
        <i/>
        <vertAlign val="subscript"/>
        <sz val="14"/>
        <color indexed="10"/>
        <rFont val="Arial"/>
        <family val="2"/>
      </rPr>
      <t>i</t>
    </r>
    <r>
      <rPr>
        <sz val="14"/>
        <color indexed="10"/>
        <rFont val="Arial"/>
        <family val="2"/>
      </rPr>
      <t>)</t>
    </r>
    <r>
      <rPr>
        <vertAlign val="superscript"/>
        <sz val="14"/>
        <color indexed="10"/>
        <rFont val="Arial"/>
        <family val="2"/>
      </rPr>
      <t>2</t>
    </r>
  </si>
  <si>
    <r>
      <t>c</t>
    </r>
    <r>
      <rPr>
        <b/>
        <i/>
        <vertAlign val="subscript"/>
        <sz val="14"/>
        <color indexed="12"/>
        <rFont val="Arial"/>
        <family val="2"/>
      </rPr>
      <t>i</t>
    </r>
  </si>
  <si>
    <r>
      <t>S</t>
    </r>
    <r>
      <rPr>
        <sz val="14"/>
        <color indexed="10"/>
        <rFont val="Arial"/>
        <family val="2"/>
      </rPr>
      <t>rel (</t>
    </r>
    <r>
      <rPr>
        <i/>
        <sz val="14"/>
        <color indexed="10"/>
        <rFont val="Arial"/>
        <family val="2"/>
      </rPr>
      <t>c</t>
    </r>
    <r>
      <rPr>
        <i/>
        <vertAlign val="subscript"/>
        <sz val="14"/>
        <color indexed="10"/>
        <rFont val="Arial"/>
        <family val="2"/>
      </rPr>
      <t>i</t>
    </r>
    <r>
      <rPr>
        <i/>
        <sz val="14"/>
        <color indexed="10"/>
        <rFont val="Arial"/>
        <family val="2"/>
      </rPr>
      <t>u</t>
    </r>
    <r>
      <rPr>
        <i/>
        <vertAlign val="subscript"/>
        <sz val="14"/>
        <color indexed="10"/>
        <rFont val="Arial"/>
        <family val="2"/>
      </rPr>
      <t>i</t>
    </r>
    <r>
      <rPr>
        <sz val="14"/>
        <color indexed="10"/>
        <rFont val="Arial"/>
        <family val="2"/>
      </rPr>
      <t>)</t>
    </r>
    <r>
      <rPr>
        <vertAlign val="superscript"/>
        <sz val="14"/>
        <color indexed="10"/>
        <rFont val="Arial"/>
        <family val="2"/>
      </rPr>
      <t>2</t>
    </r>
  </si>
  <si>
    <r>
      <t>U</t>
    </r>
    <r>
      <rPr>
        <vertAlign val="subscript"/>
        <sz val="14"/>
        <rFont val="Arial"/>
        <family val="2"/>
      </rPr>
      <t>relative</t>
    </r>
    <r>
      <rPr>
        <sz val="14"/>
        <rFont val="Arial"/>
        <family val="2"/>
      </rPr>
      <t>, %</t>
    </r>
  </si>
  <si>
    <t>Measurement Result Units:</t>
  </si>
  <si>
    <t>in³</t>
  </si>
  <si>
    <t>Measurement Range and Parameter:</t>
  </si>
  <si>
    <t xml:space="preserve">Instructions: Fill in both "components" and "est unc in meas units" AND </t>
  </si>
  <si>
    <t>select "prob distribution" for complete calculations.</t>
  </si>
  <si>
    <t>Uncertainty Component Description</t>
  </si>
  <si>
    <t>Symbol</t>
  </si>
  <si>
    <t>Estimated
Uncertainty</t>
  </si>
  <si>
    <t>d.f.</t>
  </si>
  <si>
    <t>Est. Unc in Measurement Units   
(mL)</t>
  </si>
  <si>
    <t>Type (A, B)</t>
  </si>
  <si>
    <t>Probability Distribution</t>
  </si>
  <si>
    <t>Std Unc   
(mL)</t>
  </si>
  <si>
    <t>Relative Contribution (%)</t>
  </si>
  <si>
    <t>Explanation/Source/Notes</t>
  </si>
  <si>
    <t>For effective degrees of freedom calculation.</t>
  </si>
  <si>
    <t>Instructions: Data Entry is Incomplete!!!</t>
  </si>
  <si>
    <t>Min Degrees of Freedom</t>
  </si>
  <si>
    <t>ν</t>
  </si>
  <si>
    <t>Effective Degrees of Freedom</t>
  </si>
  <si>
    <r>
      <t>ν</t>
    </r>
    <r>
      <rPr>
        <i/>
        <vertAlign val="subscript"/>
        <sz val="10"/>
        <color theme="1"/>
        <rFont val="Times New Roman"/>
        <family val="1"/>
      </rPr>
      <t>eff</t>
    </r>
  </si>
  <si>
    <r>
      <t xml:space="preserve">Combined Uncertainty, </t>
    </r>
    <r>
      <rPr>
        <i/>
        <sz val="10"/>
        <color theme="1"/>
        <rFont val="Times New Roman"/>
        <family val="1"/>
      </rPr>
      <t>u</t>
    </r>
    <r>
      <rPr>
        <i/>
        <vertAlign val="subscript"/>
        <sz val="10"/>
        <color theme="1"/>
        <rFont val="Times New Roman"/>
        <family val="1"/>
      </rPr>
      <t>c</t>
    </r>
  </si>
  <si>
    <t>Instructions: Assess data entry and values before reporting rounded result.</t>
  </si>
  <si>
    <r>
      <t xml:space="preserve">Coverage factor, </t>
    </r>
    <r>
      <rPr>
        <i/>
        <sz val="10"/>
        <color theme="1"/>
        <rFont val="Times New Roman"/>
        <family val="1"/>
      </rPr>
      <t>k, uses effective degrees of  freedom</t>
    </r>
  </si>
  <si>
    <r>
      <t xml:space="preserve">Expanded Uncertainty, </t>
    </r>
    <r>
      <rPr>
        <i/>
        <sz val="10"/>
        <color theme="1"/>
        <rFont val="Times New Roman"/>
        <family val="1"/>
      </rPr>
      <t>U</t>
    </r>
  </si>
  <si>
    <t>Expanded Uncertainty, U, Rounded to 2 Significant Digits</t>
  </si>
  <si>
    <t>millimeter mercury</t>
  </si>
  <si>
    <t>milligrams per cubic centimeter</t>
  </si>
  <si>
    <t>KL</t>
  </si>
  <si>
    <t>2. The user of this spreadsheet can edit light yellow input cells located on light yellow tabs.  All other cells are locked.</t>
  </si>
  <si>
    <t>1. The password to 'UNPROTECT' spreadsheet is metrology.</t>
  </si>
  <si>
    <t>3. Fill in "Reference Standard" tables for standards used for SOP 14 OPT B.</t>
  </si>
  <si>
    <t>4. DO NOT move lookup tables.</t>
  </si>
  <si>
    <r>
      <t>Added Disclaimer, Revisions and Instructions, Software V &amp; V Tab (SAP 10, Form A), Lookup Table and Reference Standards tables and tabs; Edited SOP 14 OPTB Data Sets and  SOP 14 OPTB spreadsheet, modified tables to include dropdown list for standards, added U</t>
    </r>
    <r>
      <rPr>
        <i/>
        <vertAlign val="subscript"/>
        <sz val="11"/>
        <rFont val="Times New Roman"/>
        <family val="1"/>
      </rPr>
      <t>s</t>
    </r>
    <r>
      <rPr>
        <sz val="11"/>
        <rFont val="Times New Roman"/>
        <family val="1"/>
      </rPr>
      <t>, revised and modified Laboratory Data, Calibration items and conditions table; Moved uncertainty component description tables; Added Effective Density, Air Density and Water Density Tab and table; Removed uncertainty analysis spreadsheets for Data Set 1 UNC 2 and Data Set 1 UNC 3.</t>
    </r>
  </si>
  <si>
    <r>
      <t>Mass Standards Used (M</t>
    </r>
    <r>
      <rPr>
        <b/>
        <vertAlign val="subscript"/>
        <sz val="12"/>
        <rFont val="Times New Roman"/>
        <family val="1"/>
      </rPr>
      <t>s1</t>
    </r>
    <r>
      <rPr>
        <b/>
        <sz val="12"/>
        <rFont val="Times New Roman"/>
        <family val="1"/>
      </rPr>
      <t>) Empty</t>
    </r>
  </si>
  <si>
    <r>
      <t>Mass Standards Used (M</t>
    </r>
    <r>
      <rPr>
        <b/>
        <vertAlign val="subscript"/>
        <sz val="12"/>
        <rFont val="Times New Roman"/>
        <family val="1"/>
      </rPr>
      <t>s2</t>
    </r>
    <r>
      <rPr>
        <b/>
        <sz val="12"/>
        <rFont val="Times New Roman"/>
        <family val="1"/>
      </rPr>
      <t>) Filled</t>
    </r>
  </si>
  <si>
    <t>degrees Celsius</t>
  </si>
  <si>
    <t>per degrees Celsius</t>
  </si>
  <si>
    <t>percent</t>
  </si>
  <si>
    <t>micro pound</t>
  </si>
  <si>
    <t>FILE NAME: GravCal_SOP14_OptionB_20140917.xlsx</t>
  </si>
  <si>
    <r>
      <t>u</t>
    </r>
    <r>
      <rPr>
        <vertAlign val="subscript"/>
        <sz val="12"/>
        <rFont val="Times New Roman"/>
        <family val="1"/>
      </rPr>
      <t>s</t>
    </r>
  </si>
  <si>
    <r>
      <t>u</t>
    </r>
    <r>
      <rPr>
        <vertAlign val="subscript"/>
        <sz val="10"/>
        <rFont val="Times New Roman"/>
        <family val="1"/>
      </rPr>
      <t>s</t>
    </r>
  </si>
  <si>
    <t>Master List</t>
  </si>
  <si>
    <r>
      <t>u</t>
    </r>
    <r>
      <rPr>
        <vertAlign val="subscript"/>
        <sz val="10"/>
        <color theme="1"/>
        <rFont val="Times New Roman"/>
        <family val="1"/>
      </rPr>
      <t>s</t>
    </r>
  </si>
  <si>
    <r>
      <t>u</t>
    </r>
    <r>
      <rPr>
        <vertAlign val="subscript"/>
        <sz val="10"/>
        <color theme="1"/>
        <rFont val="Times New Roman"/>
        <family val="1"/>
      </rPr>
      <t>m</t>
    </r>
  </si>
  <si>
    <r>
      <t>s</t>
    </r>
    <r>
      <rPr>
        <vertAlign val="subscript"/>
        <sz val="10"/>
        <color theme="1"/>
        <rFont val="Times New Roman"/>
        <family val="1"/>
      </rPr>
      <t>p</t>
    </r>
  </si>
  <si>
    <r>
      <t>u</t>
    </r>
    <r>
      <rPr>
        <vertAlign val="subscript"/>
        <sz val="10"/>
        <color theme="1"/>
        <rFont val="Times New Roman"/>
        <family val="1"/>
      </rPr>
      <t>tx</t>
    </r>
  </si>
  <si>
    <r>
      <t>u</t>
    </r>
    <r>
      <rPr>
        <vertAlign val="subscript"/>
        <sz val="10"/>
        <color theme="1"/>
        <rFont val="Times New Roman"/>
        <family val="1"/>
      </rPr>
      <t>CCE</t>
    </r>
  </si>
  <si>
    <r>
      <t>u</t>
    </r>
    <r>
      <rPr>
        <vertAlign val="subscript"/>
        <sz val="10"/>
        <color theme="1"/>
        <rFont val="Times New Roman"/>
        <family val="1"/>
      </rPr>
      <t>pw</t>
    </r>
  </si>
  <si>
    <r>
      <t>u</t>
    </r>
    <r>
      <rPr>
        <vertAlign val="subscript"/>
        <sz val="10"/>
        <color theme="1"/>
        <rFont val="Times New Roman"/>
        <family val="1"/>
      </rPr>
      <t>c</t>
    </r>
  </si>
  <si>
    <r>
      <t>u</t>
    </r>
    <r>
      <rPr>
        <vertAlign val="subscript"/>
        <sz val="10"/>
        <color theme="1"/>
        <rFont val="Times New Roman"/>
        <family val="1"/>
      </rPr>
      <t>p</t>
    </r>
  </si>
  <si>
    <r>
      <t>u</t>
    </r>
    <r>
      <rPr>
        <vertAlign val="subscript"/>
        <sz val="10"/>
        <color theme="1"/>
        <rFont val="Times New Roman"/>
        <family val="1"/>
      </rPr>
      <t>RH</t>
    </r>
  </si>
  <si>
    <r>
      <t>u</t>
    </r>
    <r>
      <rPr>
        <vertAlign val="subscript"/>
        <sz val="10"/>
        <color theme="1"/>
        <rFont val="Times New Roman"/>
        <family val="1"/>
      </rPr>
      <t>pa</t>
    </r>
  </si>
  <si>
    <r>
      <t>u</t>
    </r>
    <r>
      <rPr>
        <vertAlign val="subscript"/>
        <sz val="10"/>
        <color theme="1"/>
        <rFont val="Times New Roman"/>
        <family val="1"/>
      </rPr>
      <t>pm</t>
    </r>
  </si>
  <si>
    <r>
      <t>u</t>
    </r>
    <r>
      <rPr>
        <vertAlign val="subscript"/>
        <sz val="10"/>
        <color theme="1"/>
        <rFont val="Times New Roman"/>
        <family val="1"/>
      </rPr>
      <t>v</t>
    </r>
  </si>
  <si>
    <r>
      <t>Reduced listed of acceptable units and descriptions "Lookup Table"; Made a master list of acceptable units and descriptions on "Lookup Table"; Changed all upper case U to lower case u (unless it was a expanded unc); Update all "unit" drop down picks list on UNC Table; Match Uncertainty Budget Table in NISTIR 7383 SOP 14; Hard coded M</t>
    </r>
    <r>
      <rPr>
        <vertAlign val="subscript"/>
        <sz val="11"/>
        <rFont val="Times New Roman"/>
        <family val="1"/>
      </rPr>
      <t>S1</t>
    </r>
    <r>
      <rPr>
        <sz val="11"/>
        <rFont val="Times New Roman"/>
        <family val="1"/>
      </rPr>
      <t xml:space="preserve"> and M</t>
    </r>
    <r>
      <rPr>
        <vertAlign val="subscript"/>
        <sz val="11"/>
        <rFont val="Times New Roman"/>
        <family val="1"/>
      </rPr>
      <t>S2</t>
    </r>
    <r>
      <rPr>
        <sz val="11"/>
        <rFont val="Times New Roman"/>
        <family val="1"/>
      </rPr>
      <t xml:space="preserve"> standards on DATA Sets 1 &amp; 2; Fixs formulas in Uncerntainty Intermediate Calcs Table for SOP 14, opt B and SOP 14, opt B Data Set 2.</t>
    </r>
  </si>
  <si>
    <t>GH</t>
  </si>
  <si>
    <t>Fixed relative percent contributions on Opt B and data sets; fixed reference for accepted s(p) and d.f..</t>
  </si>
  <si>
    <t>Note: CCE in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</si>
</sst>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0.000000"/>
    <numFmt numFmtId="165" formatCode="0.00000000"/>
    <numFmt numFmtId="166" formatCode="0.000000000000"/>
    <numFmt numFmtId="167" formatCode="0.000"/>
    <numFmt numFmtId="168" formatCode="0.000000000"/>
    <numFmt numFmtId="169" formatCode="0.000\ 000"/>
    <numFmt numFmtId="170" formatCode="0.0000000000"/>
    <numFmt numFmtId="171" formatCode="0.0000"/>
    <numFmt numFmtId="172" formatCode="0.00000"/>
    <numFmt numFmtId="173" formatCode="0.0%"/>
    <numFmt numFmtId="174" formatCode="0.0000000"/>
    <numFmt numFmtId="175" formatCode="0.000000000000000"/>
    <numFmt numFmtId="176" formatCode="0.00000000000000"/>
    <numFmt numFmtId="177" formatCode="0.00000000_)"/>
    <numFmt numFmtId="178" formatCode="0.00000E+00_)"/>
    <numFmt numFmtId="179" formatCode="0.0000000000000_)"/>
    <numFmt numFmtId="180" formatCode="0.000\ 000\ 00"/>
  </numFmts>
  <fonts count="113">
    <font>
      <sz val="10"/>
      <name val="Courie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u/>
      <sz val="10"/>
      <color indexed="12"/>
      <name val="Arial"/>
      <family val="2"/>
    </font>
    <font>
      <sz val="10"/>
      <name val="Times New Roman"/>
      <family val="1"/>
    </font>
    <font>
      <b/>
      <sz val="12"/>
      <color indexed="10"/>
      <name val="Times New Roman"/>
      <family val="1"/>
    </font>
    <font>
      <b/>
      <sz val="12"/>
      <name val="Times New Roman"/>
      <family val="1"/>
    </font>
    <font>
      <b/>
      <sz val="12"/>
      <color indexed="12"/>
      <name val="Times New Roman"/>
      <family val="1"/>
    </font>
    <font>
      <vertAlign val="superscript"/>
      <sz val="12"/>
      <name val="Times New Roman"/>
      <family val="1"/>
    </font>
    <font>
      <i/>
      <sz val="12"/>
      <name val="Times New Roman"/>
      <family val="1"/>
    </font>
    <font>
      <sz val="10"/>
      <name val="Times New Roman"/>
      <family val="1"/>
    </font>
    <font>
      <sz val="8"/>
      <name val="Courier"/>
      <family val="3"/>
    </font>
    <font>
      <b/>
      <sz val="12"/>
      <color indexed="8"/>
      <name val="Times New Roman"/>
      <family val="1"/>
    </font>
    <font>
      <sz val="12"/>
      <color indexed="8"/>
      <name val="Times New Roman"/>
      <family val="1"/>
    </font>
    <font>
      <b/>
      <sz val="10"/>
      <name val="Times New Roman"/>
      <family val="1"/>
    </font>
    <font>
      <vertAlign val="subscript"/>
      <sz val="10"/>
      <name val="Times New Roman"/>
      <family val="1"/>
    </font>
    <font>
      <i/>
      <sz val="10"/>
      <name val="Times New Roman"/>
      <family val="1"/>
    </font>
    <font>
      <sz val="11"/>
      <name val="Times New Roman"/>
      <family val="1"/>
    </font>
    <font>
      <b/>
      <sz val="11"/>
      <name val="Times New Roman"/>
      <family val="1"/>
    </font>
    <font>
      <i/>
      <vertAlign val="subscript"/>
      <sz val="10"/>
      <name val="Times New Roman"/>
      <family val="1"/>
    </font>
    <font>
      <vertAlign val="superscript"/>
      <sz val="10"/>
      <name val="Times New Roman"/>
      <family val="1"/>
    </font>
    <font>
      <b/>
      <vertAlign val="subscript"/>
      <sz val="10"/>
      <name val="Times New Roman"/>
      <family val="1"/>
    </font>
    <font>
      <b/>
      <sz val="12"/>
      <color theme="1"/>
      <name val="Calibri"/>
      <family val="2"/>
      <scheme val="minor"/>
    </font>
    <font>
      <sz val="14"/>
      <color theme="1"/>
      <name val="Calibri"/>
      <family val="2"/>
      <scheme val="minor"/>
    </font>
    <font>
      <sz val="12"/>
      <color theme="1"/>
      <name val="Calibri"/>
      <family val="2"/>
      <scheme val="minor"/>
    </font>
    <font>
      <sz val="10"/>
      <color theme="1"/>
      <name val="Times New Roman"/>
      <family val="1"/>
    </font>
    <font>
      <sz val="14"/>
      <color indexed="61"/>
      <name val="Arial"/>
      <family val="2"/>
    </font>
    <font>
      <sz val="10"/>
      <name val="MS Sans Serif"/>
      <family val="2"/>
    </font>
    <font>
      <b/>
      <sz val="14"/>
      <name val="Arial"/>
      <family val="2"/>
    </font>
    <font>
      <sz val="9"/>
      <color indexed="81"/>
      <name val="Tahoma"/>
      <family val="2"/>
    </font>
    <font>
      <u/>
      <sz val="10"/>
      <color indexed="12"/>
      <name val="Arial"/>
      <family val="2"/>
    </font>
    <font>
      <sz val="10"/>
      <color rgb="FFFF0000"/>
      <name val="Times New Roman"/>
      <family val="1"/>
    </font>
    <font>
      <vertAlign val="subscript"/>
      <sz val="10"/>
      <color rgb="FFFF0000"/>
      <name val="Times New Roman"/>
      <family val="1"/>
    </font>
    <font>
      <i/>
      <vertAlign val="subscript"/>
      <sz val="10"/>
      <color rgb="FFFF0000"/>
      <name val="Tekton Pro Ext"/>
      <family val="2"/>
    </font>
    <font>
      <b/>
      <sz val="10"/>
      <name val="Arial"/>
      <family val="2"/>
    </font>
    <font>
      <b/>
      <sz val="11"/>
      <color theme="1"/>
      <name val="Calibri"/>
      <family val="2"/>
      <scheme val="minor"/>
    </font>
    <font>
      <sz val="10"/>
      <name val="Courier"/>
      <family val="3"/>
    </font>
    <font>
      <u/>
      <sz val="10"/>
      <color indexed="12"/>
      <name val="Courier"/>
      <family val="3"/>
    </font>
    <font>
      <b/>
      <sz val="14"/>
      <color indexed="10"/>
      <name val="Times New Roman"/>
      <family val="1"/>
    </font>
    <font>
      <u/>
      <sz val="11"/>
      <color theme="10"/>
      <name val="Calibri"/>
      <family val="2"/>
      <scheme val="minor"/>
    </font>
    <font>
      <sz val="12"/>
      <color rgb="FF180399"/>
      <name val="Times New Roman"/>
      <family val="1"/>
    </font>
    <font>
      <vertAlign val="subscript"/>
      <sz val="12"/>
      <name val="Times New Roman"/>
      <family val="1"/>
    </font>
    <font>
      <b/>
      <sz val="10"/>
      <color theme="1"/>
      <name val="Times New Roman"/>
      <family val="1"/>
    </font>
    <font>
      <b/>
      <sz val="12"/>
      <color rgb="FFFF0000"/>
      <name val="Times New Roman"/>
      <family val="1"/>
    </font>
    <font>
      <sz val="11"/>
      <color indexed="8"/>
      <name val="Calibri"/>
      <family val="2"/>
    </font>
    <font>
      <b/>
      <sz val="12"/>
      <color indexed="8"/>
      <name val="Calibri"/>
      <family val="2"/>
    </font>
    <font>
      <b/>
      <vertAlign val="superscript"/>
      <sz val="12"/>
      <color indexed="8"/>
      <name val="Calibri"/>
      <family val="2"/>
    </font>
    <font>
      <b/>
      <sz val="11"/>
      <color indexed="8"/>
      <name val="Calibri"/>
      <family val="2"/>
    </font>
    <font>
      <b/>
      <vertAlign val="superscript"/>
      <sz val="11"/>
      <color indexed="8"/>
      <name val="Calibri"/>
      <family val="2"/>
    </font>
    <font>
      <sz val="12"/>
      <color indexed="8"/>
      <name val="Calibri"/>
      <family val="2"/>
    </font>
    <font>
      <b/>
      <sz val="14"/>
      <color indexed="8"/>
      <name val="Calibri"/>
      <family val="2"/>
    </font>
    <font>
      <b/>
      <vertAlign val="superscript"/>
      <sz val="14"/>
      <color indexed="8"/>
      <name val="Calibri"/>
      <family val="2"/>
    </font>
    <font>
      <sz val="14"/>
      <color indexed="8"/>
      <name val="Calibri"/>
      <family val="2"/>
    </font>
    <font>
      <vertAlign val="subscript"/>
      <sz val="14"/>
      <name val="Arial"/>
      <family val="2"/>
    </font>
    <font>
      <vertAlign val="superscript"/>
      <sz val="14"/>
      <name val="Arial"/>
      <family val="2"/>
    </font>
    <font>
      <i/>
      <sz val="12"/>
      <color indexed="8"/>
      <name val="Calibri"/>
      <family val="2"/>
    </font>
    <font>
      <i/>
      <vertAlign val="superscript"/>
      <sz val="12"/>
      <color indexed="8"/>
      <name val="Calibri"/>
      <family val="2"/>
    </font>
    <font>
      <b/>
      <sz val="10"/>
      <color indexed="10"/>
      <name val="Arial"/>
      <family val="2"/>
    </font>
    <font>
      <b/>
      <sz val="10"/>
      <color indexed="12"/>
      <name val="Arial"/>
      <family val="2"/>
    </font>
    <font>
      <i/>
      <sz val="10"/>
      <name val="Arial"/>
      <family val="2"/>
    </font>
    <font>
      <b/>
      <i/>
      <sz val="9"/>
      <name val="Arial"/>
      <family val="2"/>
    </font>
    <font>
      <b/>
      <i/>
      <vertAlign val="subscript"/>
      <sz val="9"/>
      <name val="Arial"/>
      <family val="2"/>
    </font>
    <font>
      <b/>
      <i/>
      <sz val="10"/>
      <name val="Arial"/>
      <family val="2"/>
    </font>
    <font>
      <b/>
      <vertAlign val="subscript"/>
      <sz val="10"/>
      <name val="Arial"/>
      <family val="2"/>
    </font>
    <font>
      <b/>
      <sz val="9"/>
      <name val="Arial"/>
      <family val="2"/>
    </font>
    <font>
      <b/>
      <vertAlign val="superscript"/>
      <sz val="9"/>
      <name val="Arial"/>
      <family val="2"/>
    </font>
    <font>
      <sz val="10"/>
      <color indexed="10"/>
      <name val="Arial"/>
      <family val="2"/>
    </font>
    <font>
      <i/>
      <sz val="10"/>
      <color indexed="10"/>
      <name val="Arial"/>
      <family val="2"/>
    </font>
    <font>
      <i/>
      <vertAlign val="subscript"/>
      <sz val="10"/>
      <color indexed="10"/>
      <name val="Arial"/>
      <family val="2"/>
    </font>
    <font>
      <vertAlign val="superscript"/>
      <sz val="10"/>
      <color indexed="10"/>
      <name val="Arial"/>
      <family val="2"/>
    </font>
    <font>
      <sz val="8"/>
      <color indexed="12"/>
      <name val="Arial"/>
      <family val="2"/>
    </font>
    <font>
      <b/>
      <i/>
      <sz val="9"/>
      <color indexed="12"/>
      <name val="Arial"/>
      <family val="2"/>
    </font>
    <font>
      <b/>
      <i/>
      <vertAlign val="subscript"/>
      <sz val="9"/>
      <color indexed="12"/>
      <name val="Arial"/>
      <family val="2"/>
    </font>
    <font>
      <sz val="10"/>
      <color indexed="10"/>
      <name val="Symbol"/>
      <family val="1"/>
      <charset val="2"/>
    </font>
    <font>
      <sz val="9"/>
      <name val="Arial"/>
      <family val="2"/>
    </font>
    <font>
      <vertAlign val="subscript"/>
      <sz val="11"/>
      <name val="Arial"/>
      <family val="2"/>
    </font>
    <font>
      <sz val="14"/>
      <name val="Arial"/>
      <family val="2"/>
    </font>
    <font>
      <b/>
      <sz val="12"/>
      <color indexed="10"/>
      <name val="Arial"/>
      <family val="2"/>
    </font>
    <font>
      <b/>
      <sz val="14"/>
      <color indexed="12"/>
      <name val="Arial"/>
      <family val="2"/>
    </font>
    <font>
      <b/>
      <i/>
      <sz val="14"/>
      <name val="Arial"/>
      <family val="2"/>
    </font>
    <font>
      <b/>
      <i/>
      <vertAlign val="subscript"/>
      <sz val="14"/>
      <name val="Arial"/>
      <family val="2"/>
    </font>
    <font>
      <b/>
      <vertAlign val="subscript"/>
      <sz val="14"/>
      <name val="Arial"/>
      <family val="2"/>
    </font>
    <font>
      <b/>
      <vertAlign val="superscript"/>
      <sz val="14"/>
      <name val="Arial"/>
      <family val="2"/>
    </font>
    <font>
      <sz val="14"/>
      <color indexed="10"/>
      <name val="Arial"/>
      <family val="2"/>
    </font>
    <font>
      <i/>
      <sz val="14"/>
      <color indexed="10"/>
      <name val="Arial"/>
      <family val="2"/>
    </font>
    <font>
      <i/>
      <vertAlign val="subscript"/>
      <sz val="14"/>
      <color indexed="10"/>
      <name val="Arial"/>
      <family val="2"/>
    </font>
    <font>
      <vertAlign val="superscript"/>
      <sz val="14"/>
      <color indexed="10"/>
      <name val="Arial"/>
      <family val="2"/>
    </font>
    <font>
      <sz val="14"/>
      <color indexed="12"/>
      <name val="Arial"/>
      <family val="2"/>
    </font>
    <font>
      <b/>
      <i/>
      <sz val="14"/>
      <color indexed="12"/>
      <name val="Arial"/>
      <family val="2"/>
    </font>
    <font>
      <b/>
      <i/>
      <vertAlign val="subscript"/>
      <sz val="14"/>
      <color indexed="12"/>
      <name val="Arial"/>
      <family val="2"/>
    </font>
    <font>
      <sz val="14"/>
      <color indexed="10"/>
      <name val="Symbol"/>
      <family val="1"/>
      <charset val="2"/>
    </font>
    <font>
      <sz val="12"/>
      <name val="Arial"/>
      <family val="2"/>
    </font>
    <font>
      <b/>
      <sz val="11"/>
      <color indexed="10"/>
      <name val="Calibri"/>
      <family val="2"/>
    </font>
    <font>
      <b/>
      <sz val="14"/>
      <color theme="1"/>
      <name val="Calibri"/>
      <family val="2"/>
      <scheme val="minor"/>
    </font>
    <font>
      <sz val="11"/>
      <color rgb="FF000000"/>
      <name val="Calibri"/>
      <family val="2"/>
      <scheme val="minor"/>
    </font>
    <font>
      <sz val="18"/>
      <color theme="1"/>
      <name val="Rockwell Extra Bold"/>
      <family val="1"/>
    </font>
    <font>
      <i/>
      <sz val="12"/>
      <color theme="1"/>
      <name val="Calibri"/>
      <family val="2"/>
      <scheme val="minor"/>
    </font>
    <font>
      <b/>
      <vertAlign val="subscript"/>
      <sz val="12"/>
      <name val="Times New Roman"/>
      <family val="1"/>
    </font>
    <font>
      <b/>
      <sz val="12"/>
      <color rgb="FFFFFFFF"/>
      <name val="Calibri"/>
      <family val="2"/>
    </font>
    <font>
      <i/>
      <sz val="10"/>
      <color theme="1"/>
      <name val="Times New Roman"/>
      <family val="1"/>
    </font>
    <font>
      <b/>
      <i/>
      <sz val="10"/>
      <color theme="1"/>
      <name val="Times New Roman"/>
      <family val="1"/>
    </font>
    <font>
      <i/>
      <vertAlign val="subscript"/>
      <sz val="10"/>
      <color theme="1"/>
      <name val="Times New Roman"/>
      <family val="1"/>
    </font>
    <font>
      <b/>
      <i/>
      <sz val="10"/>
      <color rgb="FFFF0000"/>
      <name val="Times New Roman"/>
      <family val="1"/>
    </font>
    <font>
      <i/>
      <sz val="10"/>
      <color theme="1"/>
      <name val="Calibri"/>
      <family val="2"/>
      <scheme val="minor"/>
    </font>
    <font>
      <i/>
      <sz val="11"/>
      <color theme="1"/>
      <name val="Calibri"/>
      <family val="2"/>
      <scheme val="minor"/>
    </font>
    <font>
      <i/>
      <vertAlign val="subscript"/>
      <sz val="11"/>
      <name val="Times New Roman"/>
      <family val="1"/>
    </font>
    <font>
      <sz val="12"/>
      <color rgb="FFFF0000"/>
      <name val="Times New Roman"/>
      <family val="1"/>
    </font>
    <font>
      <vertAlign val="subscript"/>
      <sz val="10"/>
      <color theme="1"/>
      <name val="Times New Roman"/>
      <family val="1"/>
    </font>
    <font>
      <vertAlign val="subscript"/>
      <sz val="11"/>
      <name val="Times New Roman"/>
      <family val="1"/>
    </font>
    <font>
      <i/>
      <sz val="1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rgb="FFFFFFC9"/>
        <bgColor indexed="64"/>
      </patternFill>
    </fill>
    <fill>
      <patternFill patternType="solid">
        <fgColor rgb="FFC0E399"/>
        <bgColor indexed="64"/>
      </patternFill>
    </fill>
    <fill>
      <patternFill patternType="solid">
        <fgColor rgb="FFFFFFCC"/>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indexed="43"/>
        <bgColor indexed="64"/>
      </patternFill>
    </fill>
    <fill>
      <patternFill patternType="solid">
        <fgColor indexed="9"/>
        <bgColor indexed="64"/>
      </patternFill>
    </fill>
    <fill>
      <patternFill patternType="solid">
        <fgColor indexed="11"/>
        <bgColor indexed="64"/>
      </patternFill>
    </fill>
    <fill>
      <patternFill patternType="solid">
        <fgColor indexed="8"/>
        <bgColor indexed="64"/>
      </patternFill>
    </fill>
    <fill>
      <patternFill patternType="gray0625">
        <fgColor indexed="22"/>
        <bgColor indexed="9"/>
      </patternFill>
    </fill>
    <fill>
      <patternFill patternType="mediumGray">
        <fgColor indexed="47"/>
        <bgColor indexed="9"/>
      </patternFill>
    </fill>
    <fill>
      <patternFill patternType="solid">
        <fgColor indexed="45"/>
        <bgColor indexed="64"/>
      </patternFill>
    </fill>
    <fill>
      <patternFill patternType="solid">
        <fgColor rgb="FFCCFF99"/>
        <bgColor indexed="64"/>
      </patternFill>
    </fill>
  </fills>
  <borders count="185">
    <border>
      <left/>
      <right/>
      <top/>
      <bottom/>
      <diagonal/>
    </border>
    <border>
      <left/>
      <right style="thin">
        <color indexed="64"/>
      </right>
      <top/>
      <bottom style="thick">
        <color indexed="10"/>
      </bottom>
      <diagonal/>
    </border>
    <border>
      <left style="thin">
        <color indexed="64"/>
      </left>
      <right style="thin">
        <color indexed="64"/>
      </right>
      <top/>
      <bottom style="thick">
        <color indexed="10"/>
      </bottom>
      <diagonal/>
    </border>
    <border>
      <left style="thin">
        <color indexed="64"/>
      </left>
      <right/>
      <top/>
      <bottom style="thick">
        <color indexed="10"/>
      </bottom>
      <diagonal/>
    </border>
    <border>
      <left style="thick">
        <color indexed="10"/>
      </left>
      <right/>
      <top style="thick">
        <color indexed="10"/>
      </top>
      <bottom style="thin">
        <color indexed="64"/>
      </bottom>
      <diagonal/>
    </border>
    <border>
      <left style="thick">
        <color indexed="10"/>
      </left>
      <right style="thin">
        <color indexed="64"/>
      </right>
      <top style="thick">
        <color indexed="10"/>
      </top>
      <bottom style="thin">
        <color indexed="64"/>
      </bottom>
      <diagonal/>
    </border>
    <border>
      <left style="thin">
        <color indexed="64"/>
      </left>
      <right style="thin">
        <color indexed="64"/>
      </right>
      <top style="thick">
        <color indexed="10"/>
      </top>
      <bottom style="thin">
        <color indexed="64"/>
      </bottom>
      <diagonal/>
    </border>
    <border>
      <left style="thin">
        <color indexed="64"/>
      </left>
      <right style="thick">
        <color indexed="10"/>
      </right>
      <top style="thick">
        <color indexed="10"/>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top style="thin">
        <color indexed="64"/>
      </top>
      <bottom style="thin">
        <color indexed="64"/>
      </bottom>
      <diagonal/>
    </border>
    <border>
      <left style="thick">
        <color indexed="10"/>
      </left>
      <right style="thin">
        <color indexed="64"/>
      </right>
      <top style="thin">
        <color indexed="64"/>
      </top>
      <bottom style="thin">
        <color indexed="64"/>
      </bottom>
      <diagonal/>
    </border>
    <border>
      <left style="thin">
        <color indexed="64"/>
      </left>
      <right style="thick">
        <color indexed="10"/>
      </right>
      <top style="thin">
        <color indexed="64"/>
      </top>
      <bottom style="thin">
        <color indexed="64"/>
      </bottom>
      <diagonal/>
    </border>
    <border>
      <left style="thick">
        <color indexed="10"/>
      </left>
      <right/>
      <top style="thin">
        <color indexed="64"/>
      </top>
      <bottom style="thick">
        <color indexed="10"/>
      </bottom>
      <diagonal/>
    </border>
    <border>
      <left style="thick">
        <color indexed="10"/>
      </left>
      <right style="thin">
        <color indexed="64"/>
      </right>
      <top style="thin">
        <color indexed="64"/>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style="thick">
        <color indexed="10"/>
      </right>
      <top style="thin">
        <color indexed="64"/>
      </top>
      <bottom style="thick">
        <color indexed="1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double">
        <color indexed="64"/>
      </left>
      <right/>
      <top/>
      <bottom/>
      <diagonal/>
    </border>
    <border>
      <left style="thin">
        <color indexed="64"/>
      </left>
      <right style="double">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top style="double">
        <color indexed="64"/>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style="double">
        <color indexed="64"/>
      </right>
      <top style="double">
        <color indexed="64"/>
      </top>
      <bottom style="double">
        <color indexed="64"/>
      </bottom>
      <diagonal/>
    </border>
    <border>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style="double">
        <color indexed="64"/>
      </left>
      <right style="double">
        <color indexed="64"/>
      </right>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hair">
        <color indexed="64"/>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right style="hair">
        <color indexed="10"/>
      </right>
      <top style="medium">
        <color indexed="64"/>
      </top>
      <bottom style="hair">
        <color indexed="10"/>
      </bottom>
      <diagonal/>
    </border>
    <border>
      <left style="thick">
        <color indexed="64"/>
      </left>
      <right style="thin">
        <color indexed="64"/>
      </right>
      <top/>
      <bottom style="medium">
        <color indexed="64"/>
      </bottom>
      <diagonal/>
    </border>
    <border>
      <left style="hair">
        <color indexed="64"/>
      </left>
      <right style="double">
        <color indexed="64"/>
      </right>
      <top/>
      <bottom/>
      <diagonal/>
    </border>
    <border>
      <left style="hair">
        <color indexed="64"/>
      </left>
      <right style="double">
        <color indexed="64"/>
      </right>
      <top style="double">
        <color indexed="64"/>
      </top>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style="hair">
        <color auto="1"/>
      </right>
      <top style="hair">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hair">
        <color indexed="64"/>
      </left>
      <right style="double">
        <color indexed="64"/>
      </right>
      <top style="hair">
        <color indexed="64"/>
      </top>
      <bottom style="double">
        <color indexed="64"/>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indexed="64"/>
      </left>
      <right style="double">
        <color indexed="64"/>
      </right>
      <top style="hair">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10"/>
      </left>
      <right style="hair">
        <color indexed="10"/>
      </right>
      <top style="hair">
        <color indexed="10"/>
      </top>
      <bottom style="hair">
        <color indexed="10"/>
      </bottom>
      <diagonal/>
    </border>
    <border>
      <left style="medium">
        <color indexed="64"/>
      </left>
      <right style="hair">
        <color indexed="12"/>
      </right>
      <top style="hair">
        <color indexed="10"/>
      </top>
      <bottom style="hair">
        <color indexed="12"/>
      </bottom>
      <diagonal/>
    </border>
    <border>
      <left style="hair">
        <color indexed="12"/>
      </left>
      <right style="hair">
        <color indexed="12"/>
      </right>
      <top style="hair">
        <color indexed="10"/>
      </top>
      <bottom/>
      <diagonal/>
    </border>
    <border>
      <left style="hair">
        <color indexed="12"/>
      </left>
      <right style="hair">
        <color indexed="12"/>
      </right>
      <top style="hair">
        <color indexed="10"/>
      </top>
      <bottom style="hair">
        <color indexed="12"/>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10"/>
      </left>
      <right style="hair">
        <color indexed="10"/>
      </right>
      <top style="hair">
        <color indexed="10"/>
      </top>
      <bottom style="hair">
        <color indexed="10"/>
      </bottom>
      <diagonal/>
    </border>
    <border>
      <left style="medium">
        <color indexed="64"/>
      </left>
      <right style="hair">
        <color indexed="12"/>
      </right>
      <top style="hair">
        <color indexed="10"/>
      </top>
      <bottom style="hair">
        <color indexed="12"/>
      </bottom>
      <diagonal/>
    </border>
    <border>
      <left style="hair">
        <color indexed="12"/>
      </left>
      <right style="hair">
        <color indexed="12"/>
      </right>
      <top style="hair">
        <color indexed="10"/>
      </top>
      <bottom/>
      <diagonal/>
    </border>
    <border>
      <left style="hair">
        <color indexed="12"/>
      </left>
      <right style="hair">
        <color indexed="12"/>
      </right>
      <top style="hair">
        <color indexed="10"/>
      </top>
      <bottom style="hair">
        <color indexed="12"/>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bottom/>
      <diagonal/>
    </border>
    <border>
      <left/>
      <right style="double">
        <color indexed="64"/>
      </right>
      <top/>
      <bottom style="thin">
        <color indexed="64"/>
      </bottom>
      <diagonal/>
    </border>
    <border>
      <left/>
      <right style="thin">
        <color indexed="64"/>
      </right>
      <top/>
      <bottom style="thin">
        <color indexed="64"/>
      </bottom>
      <diagonal/>
    </border>
    <border>
      <left/>
      <right style="thin">
        <color indexed="64"/>
      </right>
      <top style="double">
        <color indexed="64"/>
      </top>
      <bottom style="double">
        <color indexed="64"/>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right style="hair">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auto="1"/>
      </left>
      <right style="hair">
        <color auto="1"/>
      </right>
      <top style="hair">
        <color auto="1"/>
      </top>
      <bottom/>
      <diagonal/>
    </border>
    <border>
      <left style="hair">
        <color auto="1"/>
      </left>
      <right/>
      <top style="hair">
        <color auto="1"/>
      </top>
      <bottom style="hair">
        <color auto="1"/>
      </bottom>
      <diagonal/>
    </border>
  </borders>
  <cellStyleXfs count="29">
    <xf numFmtId="0" fontId="0" fillId="0" borderId="0"/>
    <xf numFmtId="0" fontId="6" fillId="0" borderId="0" applyNumberFormat="0" applyFill="0" applyBorder="0" applyAlignment="0" applyProtection="0">
      <alignment vertical="top"/>
      <protection locked="0"/>
    </xf>
    <xf numFmtId="0" fontId="4" fillId="0" borderId="0"/>
    <xf numFmtId="0" fontId="7" fillId="0" borderId="0"/>
    <xf numFmtId="0" fontId="30" fillId="0" borderId="0"/>
    <xf numFmtId="0" fontId="39" fillId="0" borderId="0"/>
    <xf numFmtId="0" fontId="39" fillId="0" borderId="0"/>
    <xf numFmtId="0" fontId="40" fillId="0" borderId="0" applyNumberFormat="0" applyFill="0" applyBorder="0" applyAlignment="0" applyProtection="0">
      <alignment vertical="top"/>
      <protection locked="0"/>
    </xf>
    <xf numFmtId="0" fontId="3" fillId="0" borderId="0"/>
    <xf numFmtId="0" fontId="6" fillId="0" borderId="0" applyNumberFormat="0" applyFill="0" applyBorder="0" applyAlignment="0" applyProtection="0">
      <alignment vertical="top"/>
      <protection locked="0"/>
    </xf>
    <xf numFmtId="0" fontId="3" fillId="0" borderId="0"/>
    <xf numFmtId="0" fontId="42" fillId="0" borderId="0" applyNumberFormat="0" applyFill="0" applyBorder="0" applyAlignment="0" applyProtection="0"/>
    <xf numFmtId="0" fontId="4"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cellStyleXfs>
  <cellXfs count="717">
    <xf numFmtId="0" fontId="0" fillId="0" borderId="0" xfId="0"/>
    <xf numFmtId="0" fontId="5" fillId="0" borderId="0" xfId="0" applyFont="1"/>
    <xf numFmtId="0" fontId="7" fillId="0" borderId="0" xfId="3"/>
    <xf numFmtId="0" fontId="8" fillId="0" borderId="1" xfId="3" quotePrefix="1" applyFont="1" applyBorder="1" applyAlignment="1" applyProtection="1">
      <alignment horizontal="centerContinuous" vertical="center"/>
    </xf>
    <xf numFmtId="0" fontId="8" fillId="0" borderId="2" xfId="3" quotePrefix="1" applyFont="1" applyBorder="1" applyAlignment="1" applyProtection="1">
      <alignment horizontal="centerContinuous" vertical="center"/>
    </xf>
    <xf numFmtId="0" fontId="5" fillId="0" borderId="0" xfId="0" applyFont="1" applyAlignment="1">
      <alignment horizontal="left"/>
    </xf>
    <xf numFmtId="0" fontId="5" fillId="0" borderId="0" xfId="0" applyFont="1" applyAlignment="1">
      <alignment horizontal="right"/>
    </xf>
    <xf numFmtId="0" fontId="5" fillId="0" borderId="0" xfId="3" applyFont="1" applyAlignment="1" applyProtection="1">
      <alignment vertical="center"/>
    </xf>
    <xf numFmtId="0" fontId="5" fillId="0" borderId="0" xfId="3" applyFont="1"/>
    <xf numFmtId="0" fontId="5" fillId="0" borderId="0" xfId="3" applyFont="1" applyProtection="1"/>
    <xf numFmtId="0" fontId="5" fillId="0" borderId="2" xfId="3" applyFont="1" applyBorder="1" applyAlignment="1" applyProtection="1">
      <alignment horizontal="centerContinuous" vertical="center"/>
    </xf>
    <xf numFmtId="0" fontId="5" fillId="0" borderId="3" xfId="3" applyFont="1" applyBorder="1" applyAlignment="1" applyProtection="1">
      <alignment horizontal="centerContinuous" vertical="center"/>
    </xf>
    <xf numFmtId="0" fontId="5" fillId="0" borderId="0" xfId="3" applyFont="1" applyBorder="1"/>
    <xf numFmtId="0" fontId="5" fillId="0" borderId="4" xfId="3" applyFont="1" applyBorder="1" applyAlignment="1" applyProtection="1">
      <alignment horizontal="left" vertical="center" indent="1"/>
    </xf>
    <xf numFmtId="0" fontId="5" fillId="0" borderId="5" xfId="3" applyFont="1" applyBorder="1" applyAlignment="1" applyProtection="1">
      <alignment horizontal="left" vertical="center" indent="1"/>
    </xf>
    <xf numFmtId="2" fontId="10" fillId="0" borderId="6" xfId="3" applyNumberFormat="1" applyFont="1" applyBorder="1" applyAlignment="1" applyProtection="1">
      <alignment horizontal="right" vertical="center"/>
      <protection locked="0"/>
    </xf>
    <xf numFmtId="0" fontId="5" fillId="0" borderId="7" xfId="3" applyFont="1" applyBorder="1" applyAlignment="1" applyProtection="1">
      <alignment vertical="center"/>
    </xf>
    <xf numFmtId="0" fontId="10" fillId="0" borderId="8" xfId="3" applyNumberFormat="1" applyFont="1" applyBorder="1" applyAlignment="1" applyProtection="1">
      <alignment horizontal="right" vertical="center"/>
    </xf>
    <xf numFmtId="0" fontId="5" fillId="0" borderId="8" xfId="3" applyFont="1" applyBorder="1" applyAlignment="1" applyProtection="1">
      <alignment vertical="center"/>
    </xf>
    <xf numFmtId="0" fontId="5" fillId="0" borderId="9" xfId="3" applyFont="1" applyBorder="1" applyAlignment="1" applyProtection="1">
      <alignment horizontal="left" vertical="center" indent="1"/>
    </xf>
    <xf numFmtId="0" fontId="5" fillId="0" borderId="10" xfId="3" applyFont="1" applyBorder="1" applyAlignment="1" applyProtection="1">
      <alignment horizontal="left" vertical="center" indent="1"/>
    </xf>
    <xf numFmtId="2" fontId="10" fillId="0" borderId="8" xfId="3" applyNumberFormat="1" applyFont="1" applyBorder="1" applyAlignment="1" applyProtection="1">
      <alignment horizontal="right" vertical="center"/>
      <protection locked="0"/>
    </xf>
    <xf numFmtId="0" fontId="5" fillId="0" borderId="11" xfId="3" applyFont="1" applyBorder="1" applyAlignment="1" applyProtection="1">
      <alignment vertical="center"/>
    </xf>
    <xf numFmtId="2" fontId="10" fillId="0" borderId="8" xfId="3" applyNumberFormat="1" applyFont="1" applyBorder="1" applyAlignment="1" applyProtection="1">
      <alignment horizontal="right" vertical="center"/>
    </xf>
    <xf numFmtId="0" fontId="5" fillId="0" borderId="12" xfId="3" applyFont="1" applyBorder="1" applyAlignment="1" applyProtection="1">
      <alignment horizontal="left" vertical="center" indent="1"/>
    </xf>
    <xf numFmtId="0" fontId="5" fillId="0" borderId="13" xfId="3" applyFont="1" applyBorder="1" applyAlignment="1" applyProtection="1">
      <alignment horizontal="left" vertical="center" indent="1"/>
    </xf>
    <xf numFmtId="2" fontId="10" fillId="0" borderId="14" xfId="3" applyNumberFormat="1" applyFont="1" applyBorder="1" applyAlignment="1" applyProtection="1">
      <alignment horizontal="right" vertical="center"/>
      <protection locked="0"/>
    </xf>
    <xf numFmtId="0" fontId="5" fillId="0" borderId="15" xfId="3" applyFont="1" applyBorder="1" applyAlignment="1" applyProtection="1">
      <alignment vertical="center"/>
    </xf>
    <xf numFmtId="0" fontId="5" fillId="0" borderId="0" xfId="3" quotePrefix="1" applyFont="1" applyBorder="1" applyAlignment="1" applyProtection="1">
      <alignment horizontal="left" vertical="center" indent="1"/>
    </xf>
    <xf numFmtId="168" fontId="8" fillId="0" borderId="0" xfId="3" applyNumberFormat="1" applyFont="1" applyBorder="1"/>
    <xf numFmtId="0" fontId="5" fillId="0" borderId="0" xfId="3" quotePrefix="1" applyFont="1" applyBorder="1" applyAlignment="1" applyProtection="1">
      <alignment horizontal="left" vertical="center"/>
    </xf>
    <xf numFmtId="164" fontId="5" fillId="0" borderId="0" xfId="3" applyNumberFormat="1" applyFont="1" applyBorder="1"/>
    <xf numFmtId="0" fontId="10" fillId="0" borderId="0" xfId="3" quotePrefix="1" applyFont="1" applyAlignment="1" applyProtection="1">
      <alignment horizontal="left" vertical="center"/>
      <protection locked="0"/>
    </xf>
    <xf numFmtId="0" fontId="12" fillId="0" borderId="0" xfId="2" applyFont="1"/>
    <xf numFmtId="0" fontId="5" fillId="0" borderId="0" xfId="2" applyFont="1"/>
    <xf numFmtId="0" fontId="5" fillId="0" borderId="0" xfId="3" quotePrefix="1" applyFont="1" applyAlignment="1" applyProtection="1">
      <alignment horizontal="left" vertical="center" wrapText="1" indent="1"/>
    </xf>
    <xf numFmtId="0" fontId="5" fillId="0" borderId="0" xfId="3" applyFont="1" applyAlignment="1" applyProtection="1">
      <alignment horizontal="right"/>
    </xf>
    <xf numFmtId="11" fontId="0" fillId="0" borderId="0" xfId="0" applyNumberFormat="1"/>
    <xf numFmtId="164" fontId="5" fillId="0" borderId="0" xfId="0" applyNumberFormat="1" applyFont="1"/>
    <xf numFmtId="164" fontId="0" fillId="0" borderId="0" xfId="0" applyNumberFormat="1"/>
    <xf numFmtId="0" fontId="15" fillId="0" borderId="0" xfId="0" applyFont="1"/>
    <xf numFmtId="0" fontId="16" fillId="0" borderId="0" xfId="0" applyFont="1" applyAlignment="1">
      <alignment horizontal="left" wrapText="1"/>
    </xf>
    <xf numFmtId="0" fontId="13" fillId="0" borderId="8" xfId="0" applyFont="1" applyBorder="1" applyAlignment="1" applyProtection="1">
      <alignment horizontal="left" vertical="center"/>
    </xf>
    <xf numFmtId="0" fontId="13" fillId="0" borderId="8" xfId="0" applyFont="1" applyBorder="1" applyAlignment="1" applyProtection="1">
      <alignment horizontal="center" vertical="center"/>
    </xf>
    <xf numFmtId="0" fontId="13" fillId="0" borderId="19" xfId="0" applyFont="1" applyBorder="1" applyAlignment="1" applyProtection="1">
      <alignment horizontal="right" vertical="center" wrapText="1"/>
    </xf>
    <xf numFmtId="0" fontId="13" fillId="0" borderId="20" xfId="0" applyFont="1" applyBorder="1" applyAlignment="1" applyProtection="1">
      <alignment horizontal="right" vertical="center" wrapText="1"/>
    </xf>
    <xf numFmtId="0" fontId="13" fillId="0" borderId="8" xfId="0" applyFont="1" applyBorder="1" applyAlignment="1" applyProtection="1">
      <alignment horizontal="right" vertical="center" wrapText="1"/>
    </xf>
    <xf numFmtId="0" fontId="13" fillId="0" borderId="22" xfId="0" applyFont="1" applyBorder="1" applyAlignment="1" applyProtection="1">
      <alignment horizontal="right" vertical="center" wrapText="1"/>
    </xf>
    <xf numFmtId="0" fontId="13" fillId="0" borderId="24" xfId="0" applyFont="1" applyBorder="1" applyAlignment="1" applyProtection="1">
      <alignment horizontal="right" vertical="center" wrapText="1"/>
    </xf>
    <xf numFmtId="0" fontId="17" fillId="0" borderId="19"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19" fillId="0" borderId="8" xfId="0" applyFont="1" applyBorder="1" applyAlignment="1" applyProtection="1">
      <alignment horizontal="right" vertical="center" wrapText="1"/>
    </xf>
    <xf numFmtId="0" fontId="13" fillId="0" borderId="0" xfId="0" applyFont="1" applyProtection="1"/>
    <xf numFmtId="0" fontId="13" fillId="0" borderId="22" xfId="0" applyFont="1" applyBorder="1" applyAlignment="1" applyProtection="1">
      <alignment horizontal="left" vertical="center"/>
    </xf>
    <xf numFmtId="0" fontId="13" fillId="0" borderId="8" xfId="0" applyFont="1" applyBorder="1" applyAlignment="1" applyProtection="1">
      <alignment horizontal="left"/>
    </xf>
    <xf numFmtId="0" fontId="26" fillId="0" borderId="0" xfId="0" applyFont="1" applyProtection="1"/>
    <xf numFmtId="0" fontId="27"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wrapText="1"/>
    </xf>
    <xf numFmtId="0" fontId="13" fillId="0" borderId="35" xfId="0" applyFont="1" applyBorder="1" applyAlignment="1" applyProtection="1">
      <alignment horizontal="right" vertical="center" wrapText="1"/>
    </xf>
    <xf numFmtId="0" fontId="13" fillId="2" borderId="8" xfId="0" applyFont="1" applyFill="1" applyBorder="1" applyAlignment="1" applyProtection="1">
      <alignment horizontal="right"/>
    </xf>
    <xf numFmtId="0" fontId="19" fillId="0" borderId="50" xfId="0" applyFont="1" applyBorder="1" applyAlignment="1" applyProtection="1">
      <alignment horizontal="right" vertical="center" wrapText="1"/>
    </xf>
    <xf numFmtId="0" fontId="13" fillId="2" borderId="8" xfId="0" quotePrefix="1" applyFont="1" applyFill="1" applyBorder="1" applyAlignment="1" applyProtection="1">
      <alignment horizontal="right"/>
    </xf>
    <xf numFmtId="164" fontId="13" fillId="2" borderId="8" xfId="0" quotePrefix="1" applyNumberFormat="1" applyFont="1" applyFill="1" applyBorder="1" applyAlignment="1" applyProtection="1">
      <alignment horizontal="right"/>
    </xf>
    <xf numFmtId="168" fontId="28" fillId="2" borderId="8" xfId="0" quotePrefix="1" applyNumberFormat="1" applyFont="1" applyFill="1" applyBorder="1" applyAlignment="1" applyProtection="1">
      <alignment horizontal="right" vertical="center"/>
    </xf>
    <xf numFmtId="0" fontId="13" fillId="2" borderId="51" xfId="0" applyFont="1" applyFill="1" applyBorder="1" applyAlignment="1" applyProtection="1">
      <alignment horizontal="center" vertical="center" wrapText="1"/>
    </xf>
    <xf numFmtId="2" fontId="28" fillId="2" borderId="8" xfId="0" quotePrefix="1" applyNumberFormat="1" applyFont="1" applyFill="1" applyBorder="1" applyAlignment="1" applyProtection="1">
      <alignment horizontal="center" vertical="center"/>
    </xf>
    <xf numFmtId="0" fontId="19" fillId="0" borderId="8"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right" vertical="center" wrapText="1"/>
    </xf>
    <xf numFmtId="0" fontId="19" fillId="0" borderId="25" xfId="0" applyFont="1" applyBorder="1" applyAlignment="1" applyProtection="1">
      <alignment horizontal="center" vertical="center" wrapText="1"/>
    </xf>
    <xf numFmtId="0" fontId="13" fillId="0" borderId="53" xfId="0" applyFont="1" applyFill="1" applyBorder="1" applyAlignment="1" applyProtection="1">
      <alignment vertical="center" wrapText="1"/>
    </xf>
    <xf numFmtId="0" fontId="13" fillId="0" borderId="8" xfId="0" applyFont="1" applyBorder="1" applyAlignment="1" applyProtection="1">
      <alignment horizontal="right"/>
    </xf>
    <xf numFmtId="167" fontId="13" fillId="0" borderId="44" xfId="0" applyNumberFormat="1" applyFont="1" applyFill="1" applyBorder="1" applyAlignment="1" applyProtection="1">
      <alignment horizontal="center" vertical="center"/>
    </xf>
    <xf numFmtId="14" fontId="5" fillId="0" borderId="0" xfId="0" applyNumberFormat="1" applyFont="1" applyAlignment="1">
      <alignment vertical="center"/>
    </xf>
    <xf numFmtId="0" fontId="13" fillId="0" borderId="61" xfId="0" applyFont="1" applyBorder="1" applyAlignment="1" applyProtection="1">
      <alignment horizontal="left"/>
    </xf>
    <xf numFmtId="0" fontId="13" fillId="0" borderId="62" xfId="0" applyFont="1" applyBorder="1" applyAlignment="1" applyProtection="1">
      <alignment horizontal="left"/>
    </xf>
    <xf numFmtId="0" fontId="13" fillId="2" borderId="49" xfId="0" applyFont="1" applyFill="1" applyBorder="1" applyAlignment="1" applyProtection="1">
      <alignment horizontal="right"/>
    </xf>
    <xf numFmtId="0" fontId="7" fillId="0" borderId="64" xfId="0" applyFont="1" applyBorder="1" applyAlignment="1" applyProtection="1">
      <alignment horizontal="left"/>
    </xf>
    <xf numFmtId="0" fontId="7" fillId="0" borderId="22" xfId="0" applyFont="1" applyBorder="1" applyAlignment="1" applyProtection="1">
      <alignment horizontal="left" vertical="center"/>
    </xf>
    <xf numFmtId="0" fontId="7" fillId="0" borderId="8" xfId="0" applyFont="1" applyBorder="1" applyAlignment="1" applyProtection="1">
      <alignment horizontal="right" vertical="center" wrapText="1"/>
    </xf>
    <xf numFmtId="0" fontId="13" fillId="0" borderId="46" xfId="0" applyFont="1" applyFill="1" applyBorder="1" applyAlignment="1" applyProtection="1">
      <alignment horizontal="right"/>
    </xf>
    <xf numFmtId="0" fontId="13" fillId="0" borderId="0" xfId="0" applyFont="1" applyFill="1" applyBorder="1" applyAlignment="1" applyProtection="1">
      <alignment vertical="center" wrapText="1"/>
    </xf>
    <xf numFmtId="0" fontId="13" fillId="0" borderId="0" xfId="0" applyFont="1" applyFill="1" applyBorder="1" applyProtection="1"/>
    <xf numFmtId="14" fontId="13" fillId="0" borderId="8" xfId="0" applyNumberFormat="1" applyFont="1" applyFill="1" applyBorder="1" applyAlignment="1" applyProtection="1">
      <alignment horizontal="center" vertical="center" wrapText="1"/>
    </xf>
    <xf numFmtId="14" fontId="13" fillId="0" borderId="35" xfId="0" applyNumberFormat="1" applyFont="1" applyFill="1" applyBorder="1" applyAlignment="1" applyProtection="1">
      <alignment horizontal="center" vertical="center" wrapText="1"/>
    </xf>
    <xf numFmtId="0" fontId="6" fillId="0" borderId="0" xfId="1" applyAlignment="1" applyProtection="1">
      <alignment wrapText="1"/>
    </xf>
    <xf numFmtId="0" fontId="13" fillId="0" borderId="8" xfId="0" applyFont="1" applyBorder="1" applyAlignment="1" applyProtection="1">
      <alignment horizontal="center" vertical="center" wrapText="1"/>
    </xf>
    <xf numFmtId="0" fontId="13" fillId="0" borderId="45" xfId="0" applyFont="1" applyBorder="1" applyAlignment="1" applyProtection="1">
      <alignment horizontal="left" vertical="center"/>
    </xf>
    <xf numFmtId="0" fontId="13" fillId="0" borderId="35" xfId="0" applyFont="1" applyBorder="1" applyAlignment="1" applyProtection="1">
      <alignment horizontal="center" vertical="center" wrapText="1"/>
    </xf>
    <xf numFmtId="167" fontId="13" fillId="2" borderId="35" xfId="0" applyNumberFormat="1" applyFont="1" applyFill="1" applyBorder="1" applyAlignment="1" applyProtection="1">
      <alignment horizontal="center" vertical="center"/>
    </xf>
    <xf numFmtId="0" fontId="13" fillId="0" borderId="0" xfId="0" applyFont="1" applyAlignment="1" applyProtection="1">
      <alignment horizontal="center" vertical="center"/>
    </xf>
    <xf numFmtId="0" fontId="19" fillId="0" borderId="0" xfId="0" applyFont="1" applyProtection="1"/>
    <xf numFmtId="165" fontId="13" fillId="2" borderId="8" xfId="4" quotePrefix="1" applyNumberFormat="1" applyFont="1" applyFill="1" applyBorder="1" applyAlignment="1" applyProtection="1">
      <alignment vertical="center"/>
    </xf>
    <xf numFmtId="0" fontId="29" fillId="0" borderId="0" xfId="0" applyFont="1" applyFill="1" applyBorder="1" applyAlignment="1" applyProtection="1">
      <alignment horizontal="right" vertical="center" wrapText="1"/>
    </xf>
    <xf numFmtId="165" fontId="13" fillId="2" borderId="8" xfId="4" applyNumberFormat="1" applyFont="1" applyFill="1" applyBorder="1" applyAlignment="1" applyProtection="1">
      <alignment vertical="center"/>
    </xf>
    <xf numFmtId="166" fontId="31" fillId="0" borderId="0" xfId="4" applyNumberFormat="1" applyFont="1" applyFill="1" applyBorder="1" applyAlignment="1" applyProtection="1">
      <alignment horizontal="right" vertical="center"/>
    </xf>
    <xf numFmtId="0" fontId="0" fillId="0" borderId="0" xfId="0" applyFill="1" applyBorder="1" applyProtection="1"/>
    <xf numFmtId="170" fontId="0" fillId="0" borderId="0" xfId="0" applyNumberFormat="1" applyFill="1" applyBorder="1" applyProtection="1"/>
    <xf numFmtId="165" fontId="0" fillId="0" borderId="0" xfId="0" applyNumberFormat="1" applyFill="1" applyBorder="1" applyProtection="1"/>
    <xf numFmtId="0" fontId="7" fillId="0" borderId="22" xfId="0" applyFont="1" applyBorder="1" applyProtection="1"/>
    <xf numFmtId="0" fontId="13" fillId="0" borderId="8" xfId="0" applyFont="1" applyBorder="1" applyProtection="1"/>
    <xf numFmtId="0" fontId="13" fillId="2" borderId="8" xfId="0" applyFont="1" applyFill="1" applyBorder="1" applyProtection="1"/>
    <xf numFmtId="0" fontId="7" fillId="0" borderId="24" xfId="0" applyFont="1" applyBorder="1" applyProtection="1"/>
    <xf numFmtId="0" fontId="13" fillId="0" borderId="25" xfId="0" applyFont="1" applyBorder="1" applyProtection="1"/>
    <xf numFmtId="165" fontId="13" fillId="2" borderId="46" xfId="0" quotePrefix="1" applyNumberFormat="1" applyFont="1" applyFill="1" applyBorder="1" applyAlignment="1" applyProtection="1">
      <alignment horizontal="right"/>
    </xf>
    <xf numFmtId="0" fontId="13" fillId="2" borderId="8" xfId="0" applyFont="1" applyFill="1" applyBorder="1" applyAlignment="1" applyProtection="1">
      <alignment horizontal="center" vertical="center" wrapText="1"/>
    </xf>
    <xf numFmtId="0" fontId="7" fillId="0" borderId="8" xfId="0" applyFont="1" applyBorder="1" applyAlignment="1" applyProtection="1">
      <alignment horizontal="right" wrapText="1"/>
    </xf>
    <xf numFmtId="0" fontId="7" fillId="0" borderId="22" xfId="0" applyFont="1" applyBorder="1" applyAlignment="1" applyProtection="1">
      <alignment horizontal="right" vertical="center" wrapText="1"/>
    </xf>
    <xf numFmtId="0" fontId="7" fillId="0" borderId="22" xfId="0" applyFont="1" applyBorder="1" applyAlignment="1" applyProtection="1">
      <alignment horizontal="right"/>
    </xf>
    <xf numFmtId="0" fontId="21" fillId="4" borderId="20" xfId="0" quotePrefix="1" applyFont="1" applyFill="1" applyBorder="1" applyAlignment="1" applyProtection="1">
      <alignment horizontal="right"/>
    </xf>
    <xf numFmtId="167" fontId="21" fillId="4" borderId="25" xfId="0" quotePrefix="1" applyNumberFormat="1" applyFont="1" applyFill="1" applyBorder="1" applyAlignment="1" applyProtection="1">
      <alignment horizontal="right" vertical="center"/>
    </xf>
    <xf numFmtId="0" fontId="20" fillId="4" borderId="20" xfId="0" quotePrefix="1" applyFont="1" applyFill="1" applyBorder="1" applyAlignment="1" applyProtection="1">
      <alignment horizontal="left"/>
    </xf>
    <xf numFmtId="0" fontId="20" fillId="4" borderId="20" xfId="0" applyFont="1" applyFill="1" applyBorder="1" applyAlignment="1" applyProtection="1"/>
    <xf numFmtId="0" fontId="20" fillId="4" borderId="25" xfId="0" applyFont="1" applyFill="1" applyBorder="1" applyAlignment="1" applyProtection="1"/>
    <xf numFmtId="0" fontId="20" fillId="4" borderId="25" xfId="0" quotePrefix="1" applyFont="1" applyFill="1" applyBorder="1" applyAlignment="1" applyProtection="1">
      <alignment horizontal="left"/>
    </xf>
    <xf numFmtId="0" fontId="7" fillId="0" borderId="0" xfId="0" quotePrefix="1" applyFont="1" applyProtection="1"/>
    <xf numFmtId="0" fontId="7" fillId="2" borderId="8" xfId="0" quotePrefix="1" applyFont="1" applyFill="1" applyBorder="1" applyAlignment="1" applyProtection="1">
      <alignment horizontal="right"/>
    </xf>
    <xf numFmtId="0" fontId="7" fillId="0" borderId="20" xfId="0" applyFont="1" applyBorder="1" applyAlignment="1" applyProtection="1">
      <alignment horizontal="center" vertical="center" wrapText="1"/>
    </xf>
    <xf numFmtId="0" fontId="7" fillId="0" borderId="0" xfId="0" quotePrefix="1" applyFont="1" applyFill="1" applyBorder="1" applyAlignment="1" applyProtection="1">
      <alignment horizontal="right"/>
    </xf>
    <xf numFmtId="0" fontId="13" fillId="0" borderId="0" xfId="0" applyFont="1" applyFill="1" applyProtection="1"/>
    <xf numFmtId="0" fontId="7" fillId="3" borderId="20"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wrapText="1"/>
      <protection locked="0"/>
    </xf>
    <xf numFmtId="11" fontId="13" fillId="3" borderId="8" xfId="0" applyNumberFormat="1" applyFont="1" applyFill="1" applyBorder="1" applyAlignment="1" applyProtection="1">
      <alignment horizontal="center" vertical="center" wrapText="1"/>
      <protection locked="0"/>
    </xf>
    <xf numFmtId="0" fontId="13" fillId="3" borderId="56" xfId="0" applyFont="1" applyFill="1" applyBorder="1" applyAlignment="1" applyProtection="1">
      <alignment vertical="top"/>
      <protection locked="0"/>
    </xf>
    <xf numFmtId="0" fontId="13" fillId="3" borderId="27" xfId="0" applyFont="1" applyFill="1" applyBorder="1" applyAlignment="1" applyProtection="1">
      <alignment vertical="top"/>
      <protection locked="0"/>
    </xf>
    <xf numFmtId="0" fontId="13" fillId="3" borderId="57" xfId="0" applyFont="1" applyFill="1" applyBorder="1" applyAlignment="1" applyProtection="1">
      <alignment vertical="top"/>
      <protection locked="0"/>
    </xf>
    <xf numFmtId="0" fontId="13" fillId="3" borderId="28" xfId="0" applyFont="1" applyFill="1" applyBorder="1" applyAlignment="1" applyProtection="1">
      <alignment vertical="top"/>
      <protection locked="0"/>
    </xf>
    <xf numFmtId="0" fontId="13" fillId="3" borderId="0" xfId="0" applyFont="1" applyFill="1" applyBorder="1" applyAlignment="1" applyProtection="1">
      <alignment vertical="top"/>
      <protection locked="0"/>
    </xf>
    <xf numFmtId="0" fontId="13" fillId="3" borderId="58" xfId="0" applyFont="1" applyFill="1" applyBorder="1" applyAlignment="1" applyProtection="1">
      <alignment vertical="top"/>
      <protection locked="0"/>
    </xf>
    <xf numFmtId="0" fontId="7" fillId="3" borderId="0" xfId="0" applyFont="1" applyFill="1" applyBorder="1" applyAlignment="1" applyProtection="1">
      <alignment vertical="top"/>
      <protection locked="0"/>
    </xf>
    <xf numFmtId="0" fontId="13" fillId="3" borderId="18" xfId="0" applyFont="1" applyFill="1" applyBorder="1" applyAlignment="1" applyProtection="1">
      <alignment vertical="top"/>
      <protection locked="0"/>
    </xf>
    <xf numFmtId="0" fontId="13" fillId="3" borderId="59" xfId="0" applyFont="1" applyFill="1" applyBorder="1" applyAlignment="1" applyProtection="1">
      <alignment vertical="top"/>
      <protection locked="0"/>
    </xf>
    <xf numFmtId="0" fontId="13" fillId="3" borderId="25" xfId="0" applyFont="1" applyFill="1" applyBorder="1" applyAlignment="1" applyProtection="1">
      <alignment horizontal="center" vertical="center"/>
      <protection locked="0"/>
    </xf>
    <xf numFmtId="2" fontId="28" fillId="3" borderId="8" xfId="0" quotePrefix="1" applyNumberFormat="1" applyFont="1" applyFill="1" applyBorder="1" applyAlignment="1" applyProtection="1">
      <alignment horizontal="center" vertical="center"/>
      <protection locked="0"/>
    </xf>
    <xf numFmtId="2" fontId="28" fillId="3" borderId="23" xfId="0" quotePrefix="1" applyNumberFormat="1" applyFont="1" applyFill="1" applyBorder="1" applyAlignment="1" applyProtection="1">
      <alignment horizontal="center" vertical="center"/>
      <protection locked="0"/>
    </xf>
    <xf numFmtId="0" fontId="21" fillId="0" borderId="71" xfId="6" applyFont="1" applyBorder="1" applyAlignment="1" applyProtection="1">
      <alignment horizontal="center"/>
    </xf>
    <xf numFmtId="0" fontId="21" fillId="0" borderId="72" xfId="6" applyFont="1" applyBorder="1" applyAlignment="1" applyProtection="1">
      <alignment horizontal="center"/>
    </xf>
    <xf numFmtId="0" fontId="21" fillId="0" borderId="73" xfId="6" applyFont="1" applyBorder="1" applyAlignment="1" applyProtection="1">
      <alignment horizontal="center"/>
    </xf>
    <xf numFmtId="0" fontId="7" fillId="0" borderId="74" xfId="6" applyFont="1" applyBorder="1" applyProtection="1">
      <protection locked="0"/>
    </xf>
    <xf numFmtId="0" fontId="5" fillId="0" borderId="75" xfId="6" applyFont="1" applyBorder="1" applyAlignment="1" applyProtection="1">
      <alignment wrapText="1"/>
      <protection locked="0"/>
    </xf>
    <xf numFmtId="0" fontId="7" fillId="0" borderId="75" xfId="6" applyFont="1" applyBorder="1" applyProtection="1">
      <protection locked="0"/>
    </xf>
    <xf numFmtId="0" fontId="7" fillId="0" borderId="76" xfId="6" applyFont="1" applyBorder="1" applyProtection="1">
      <protection locked="0"/>
    </xf>
    <xf numFmtId="0" fontId="7" fillId="0" borderId="117" xfId="6" applyFont="1" applyBorder="1" applyProtection="1">
      <protection locked="0"/>
    </xf>
    <xf numFmtId="0" fontId="41" fillId="0" borderId="0" xfId="6" applyFont="1" applyAlignment="1" applyProtection="1">
      <alignment horizontal="center" vertical="center"/>
    </xf>
    <xf numFmtId="0" fontId="39" fillId="0" borderId="0" xfId="6"/>
    <xf numFmtId="0" fontId="5" fillId="0" borderId="0" xfId="6" applyFont="1"/>
    <xf numFmtId="0" fontId="9" fillId="0" borderId="0" xfId="6" applyFont="1"/>
    <xf numFmtId="0" fontId="5" fillId="0" borderId="0" xfId="6" applyFont="1" applyBorder="1"/>
    <xf numFmtId="0" fontId="9" fillId="0" borderId="80" xfId="6" applyFont="1" applyBorder="1"/>
    <xf numFmtId="0" fontId="5" fillId="0" borderId="80" xfId="6" applyFont="1" applyBorder="1"/>
    <xf numFmtId="0" fontId="9" fillId="0" borderId="8" xfId="6" applyFont="1" applyBorder="1"/>
    <xf numFmtId="0" fontId="5" fillId="0" borderId="67" xfId="6" applyFont="1" applyBorder="1"/>
    <xf numFmtId="0" fontId="5" fillId="0" borderId="83" xfId="6" applyFont="1" applyBorder="1" applyAlignment="1">
      <alignment wrapText="1"/>
    </xf>
    <xf numFmtId="0" fontId="5" fillId="0" borderId="83" xfId="6" applyFont="1" applyBorder="1"/>
    <xf numFmtId="0" fontId="9" fillId="0" borderId="8" xfId="6" applyFont="1" applyBorder="1" applyAlignment="1"/>
    <xf numFmtId="0" fontId="9" fillId="5" borderId="8" xfId="6" applyFont="1" applyFill="1" applyBorder="1" applyProtection="1">
      <protection locked="0"/>
    </xf>
    <xf numFmtId="0" fontId="5" fillId="5" borderId="8" xfId="6" applyFont="1" applyFill="1" applyBorder="1" applyProtection="1">
      <protection locked="0"/>
    </xf>
    <xf numFmtId="0" fontId="5" fillId="5" borderId="8" xfId="6" applyFont="1" applyFill="1" applyBorder="1" applyAlignment="1" applyProtection="1">
      <protection locked="0"/>
    </xf>
    <xf numFmtId="172" fontId="4" fillId="6" borderId="98" xfId="4" applyNumberFormat="1" applyFont="1" applyFill="1" applyBorder="1" applyAlignment="1" applyProtection="1">
      <alignment vertical="center"/>
    </xf>
    <xf numFmtId="0" fontId="3" fillId="0" borderId="128" xfId="15" applyBorder="1" applyProtection="1"/>
    <xf numFmtId="172" fontId="4" fillId="10" borderId="100" xfId="4" applyNumberFormat="1" applyFont="1" applyFill="1" applyBorder="1" applyAlignment="1" applyProtection="1">
      <alignment vertical="center"/>
    </xf>
    <xf numFmtId="2" fontId="26" fillId="0" borderId="0" xfId="15" applyNumberFormat="1" applyFont="1" applyProtection="1"/>
    <xf numFmtId="0" fontId="39" fillId="0" borderId="0" xfId="6"/>
    <xf numFmtId="0" fontId="7" fillId="0" borderId="0" xfId="14" applyFont="1" applyFill="1" applyBorder="1" applyAlignment="1" applyProtection="1">
      <alignment horizontal="center"/>
    </xf>
    <xf numFmtId="0" fontId="7" fillId="0" borderId="0" xfId="14" applyFont="1" applyBorder="1" applyAlignment="1" applyProtection="1">
      <alignment horizontal="center"/>
    </xf>
    <xf numFmtId="0" fontId="7" fillId="0" borderId="0" xfId="14" applyFont="1" applyAlignment="1" applyProtection="1">
      <alignment horizontal="center"/>
    </xf>
    <xf numFmtId="0" fontId="7" fillId="0" borderId="0" xfId="14" applyFont="1" applyAlignment="1" applyProtection="1">
      <alignment horizontal="left"/>
    </xf>
    <xf numFmtId="0" fontId="7" fillId="0" borderId="0" xfId="14" applyFont="1" applyProtection="1"/>
    <xf numFmtId="0" fontId="28" fillId="0" borderId="0" xfId="14" applyFont="1" applyAlignment="1" applyProtection="1">
      <alignment horizontal="center" wrapText="1"/>
    </xf>
    <xf numFmtId="0" fontId="45" fillId="0" borderId="0" xfId="14" applyFont="1" applyProtection="1"/>
    <xf numFmtId="0" fontId="28" fillId="0" borderId="0" xfId="14" applyFont="1" applyProtection="1"/>
    <xf numFmtId="0" fontId="28" fillId="0" borderId="0" xfId="14" applyFont="1" applyAlignment="1" applyProtection="1">
      <alignment horizontal="center"/>
    </xf>
    <xf numFmtId="0" fontId="5" fillId="0" borderId="72" xfId="6" applyFont="1" applyBorder="1" applyProtection="1"/>
    <xf numFmtId="0" fontId="5" fillId="0" borderId="73" xfId="6" applyFont="1" applyBorder="1" applyProtection="1"/>
    <xf numFmtId="0" fontId="5" fillId="0" borderId="118" xfId="6" applyFont="1" applyBorder="1" applyAlignment="1" applyProtection="1">
      <alignment horizontal="center"/>
    </xf>
    <xf numFmtId="0" fontId="5" fillId="0" borderId="119" xfId="6" applyFont="1" applyBorder="1" applyAlignment="1" applyProtection="1">
      <alignment horizontal="center" wrapText="1"/>
    </xf>
    <xf numFmtId="0" fontId="5" fillId="0" borderId="119" xfId="6" applyFont="1" applyBorder="1" applyAlignment="1" applyProtection="1">
      <alignment horizontal="center"/>
    </xf>
    <xf numFmtId="0" fontId="5" fillId="0" borderId="120" xfId="6" applyFont="1" applyBorder="1" applyAlignment="1" applyProtection="1">
      <alignment horizontal="center" wrapText="1"/>
    </xf>
    <xf numFmtId="0" fontId="7" fillId="3" borderId="118" xfId="6" applyFont="1" applyFill="1" applyBorder="1" applyAlignment="1" applyProtection="1">
      <alignment horizontal="center"/>
      <protection locked="0"/>
    </xf>
    <xf numFmtId="0" fontId="7" fillId="3" borderId="119" xfId="6" applyFont="1" applyFill="1" applyBorder="1" applyAlignment="1" applyProtection="1">
      <alignment horizontal="center"/>
      <protection locked="0"/>
    </xf>
    <xf numFmtId="0" fontId="7" fillId="3" borderId="119" xfId="6" applyFont="1" applyFill="1" applyBorder="1" applyProtection="1">
      <protection locked="0"/>
    </xf>
    <xf numFmtId="0" fontId="7" fillId="6" borderId="120" xfId="6" applyFont="1" applyFill="1" applyBorder="1" applyProtection="1"/>
    <xf numFmtId="0" fontId="7" fillId="3" borderId="118" xfId="6" applyFont="1" applyFill="1" applyBorder="1" applyProtection="1">
      <protection locked="0"/>
    </xf>
    <xf numFmtId="0" fontId="7" fillId="3" borderId="121" xfId="6" applyFont="1" applyFill="1" applyBorder="1" applyProtection="1">
      <protection locked="0"/>
    </xf>
    <xf numFmtId="0" fontId="7" fillId="3" borderId="122" xfId="6" applyFont="1" applyFill="1" applyBorder="1" applyProtection="1">
      <protection locked="0"/>
    </xf>
    <xf numFmtId="172" fontId="4" fillId="6" borderId="104" xfId="4" applyNumberFormat="1" applyFont="1" applyFill="1" applyBorder="1" applyAlignment="1" applyProtection="1">
      <alignment horizontal="right" vertical="center" wrapText="1"/>
    </xf>
    <xf numFmtId="0" fontId="7" fillId="6" borderId="124" xfId="6" applyFont="1" applyFill="1" applyBorder="1" applyProtection="1"/>
    <xf numFmtId="0" fontId="7" fillId="6" borderId="122" xfId="6" applyFont="1" applyFill="1" applyBorder="1" applyProtection="1"/>
    <xf numFmtId="0" fontId="7" fillId="6" borderId="123" xfId="6" applyFont="1" applyFill="1" applyBorder="1" applyProtection="1"/>
    <xf numFmtId="0" fontId="3" fillId="3" borderId="72" xfId="15" applyFill="1" applyBorder="1" applyProtection="1">
      <protection locked="0"/>
    </xf>
    <xf numFmtId="0" fontId="3" fillId="3" borderId="126" xfId="15" applyFill="1" applyBorder="1" applyProtection="1">
      <protection locked="0"/>
    </xf>
    <xf numFmtId="0" fontId="3" fillId="3" borderId="122" xfId="15" applyFill="1" applyBorder="1" applyProtection="1">
      <protection locked="0"/>
    </xf>
    <xf numFmtId="0" fontId="3" fillId="0" borderId="0" xfId="15" applyProtection="1"/>
    <xf numFmtId="0" fontId="3" fillId="0" borderId="85" xfId="15" applyBorder="1" applyAlignment="1" applyProtection="1">
      <alignment horizontal="center" wrapText="1"/>
    </xf>
    <xf numFmtId="0" fontId="3" fillId="0" borderId="86" xfId="15" applyBorder="1" applyAlignment="1" applyProtection="1">
      <alignment horizontal="center" wrapText="1"/>
    </xf>
    <xf numFmtId="0" fontId="3" fillId="0" borderId="87" xfId="15" applyBorder="1" applyAlignment="1" applyProtection="1">
      <alignment horizontal="center" wrapText="1"/>
    </xf>
    <xf numFmtId="0" fontId="3" fillId="0" borderId="71" xfId="15" applyBorder="1" applyProtection="1"/>
    <xf numFmtId="0" fontId="3" fillId="0" borderId="73" xfId="15" applyBorder="1" applyProtection="1"/>
    <xf numFmtId="0" fontId="3" fillId="0" borderId="125" xfId="15" applyBorder="1" applyProtection="1"/>
    <xf numFmtId="0" fontId="3" fillId="0" borderId="127" xfId="15" applyBorder="1" applyProtection="1"/>
    <xf numFmtId="0" fontId="3" fillId="0" borderId="121" xfId="15" applyBorder="1" applyProtection="1"/>
    <xf numFmtId="0" fontId="25" fillId="7" borderId="71" xfId="15" applyFont="1" applyFill="1" applyBorder="1" applyAlignment="1" applyProtection="1">
      <alignment horizontal="center" vertical="center" wrapText="1"/>
    </xf>
    <xf numFmtId="0" fontId="25" fillId="7" borderId="72" xfId="15" applyFont="1" applyFill="1" applyBorder="1" applyAlignment="1" applyProtection="1">
      <alignment horizontal="center" vertical="center" wrapText="1"/>
    </xf>
    <xf numFmtId="0" fontId="25" fillId="7" borderId="73" xfId="15" applyFont="1" applyFill="1" applyBorder="1" applyAlignment="1" applyProtection="1">
      <alignment horizontal="center" vertical="center" wrapText="1"/>
    </xf>
    <xf numFmtId="0" fontId="96" fillId="8" borderId="121" xfId="15" applyFont="1" applyFill="1" applyBorder="1" applyProtection="1"/>
    <xf numFmtId="0" fontId="96" fillId="8" borderId="122" xfId="15" applyFont="1" applyFill="1" applyBorder="1" applyProtection="1"/>
    <xf numFmtId="172" fontId="4" fillId="6" borderId="98" xfId="4" applyNumberFormat="1" applyFont="1" applyFill="1" applyBorder="1" applyAlignment="1" applyProtection="1">
      <alignment horizontal="right" vertical="center" wrapText="1"/>
    </xf>
    <xf numFmtId="0" fontId="101" fillId="0" borderId="0" xfId="0" applyFont="1" applyAlignment="1">
      <alignment horizontal="center"/>
    </xf>
    <xf numFmtId="0" fontId="96" fillId="8" borderId="128" xfId="15" applyFont="1" applyFill="1" applyBorder="1" applyProtection="1"/>
    <xf numFmtId="0" fontId="27" fillId="0" borderId="129" xfId="15" quotePrefix="1" applyFont="1" applyBorder="1" applyAlignment="1" applyProtection="1">
      <alignment horizontal="center" vertical="center"/>
    </xf>
    <xf numFmtId="0" fontId="25" fillId="0" borderId="130" xfId="15" applyFont="1" applyBorder="1" applyAlignment="1" applyProtection="1">
      <alignment horizontal="center" vertical="center"/>
    </xf>
    <xf numFmtId="179" fontId="25" fillId="0" borderId="131" xfId="15" applyNumberFormat="1" applyFont="1" applyBorder="1" applyAlignment="1" applyProtection="1">
      <alignment horizontal="center" vertical="center"/>
    </xf>
    <xf numFmtId="0" fontId="25" fillId="0" borderId="87" xfId="15" applyFont="1" applyBorder="1" applyAlignment="1" applyProtection="1">
      <alignment horizontal="center" vertical="center" wrapText="1"/>
    </xf>
    <xf numFmtId="171" fontId="25" fillId="0" borderId="85" xfId="15" applyNumberFormat="1" applyFont="1" applyFill="1" applyBorder="1" applyAlignment="1" applyProtection="1">
      <alignment horizontal="center" vertical="center" wrapText="1"/>
    </xf>
    <xf numFmtId="0" fontId="48" fillId="0" borderId="86" xfId="15" applyNumberFormat="1" applyFont="1" applyFill="1" applyBorder="1" applyAlignment="1" applyProtection="1">
      <alignment horizontal="center" vertical="center" wrapText="1"/>
    </xf>
    <xf numFmtId="0" fontId="25" fillId="0" borderId="86" xfId="15" applyFont="1" applyBorder="1" applyAlignment="1" applyProtection="1">
      <alignment horizontal="center" vertical="center"/>
    </xf>
    <xf numFmtId="0" fontId="27" fillId="0" borderId="89" xfId="15" quotePrefix="1" applyFont="1" applyBorder="1" applyAlignment="1" applyProtection="1">
      <alignment horizontal="center" vertical="center"/>
    </xf>
    <xf numFmtId="0" fontId="25" fillId="0" borderId="68" xfId="15" applyFont="1" applyBorder="1" applyAlignment="1" applyProtection="1">
      <alignment horizontal="center" vertical="center"/>
    </xf>
    <xf numFmtId="0" fontId="27" fillId="0" borderId="88" xfId="15" applyFont="1" applyBorder="1" applyAlignment="1" applyProtection="1">
      <alignment horizontal="center" wrapText="1"/>
    </xf>
    <xf numFmtId="167" fontId="27" fillId="0" borderId="130" xfId="15" applyNumberFormat="1" applyFont="1" applyBorder="1" applyAlignment="1" applyProtection="1">
      <alignment horizontal="center" vertical="center"/>
    </xf>
    <xf numFmtId="167" fontId="27" fillId="0" borderId="133" xfId="15" applyNumberFormat="1" applyFont="1" applyBorder="1" applyAlignment="1" applyProtection="1">
      <alignment horizontal="center" vertical="center"/>
    </xf>
    <xf numFmtId="0" fontId="25" fillId="0" borderId="133" xfId="15" applyFont="1" applyBorder="1" applyAlignment="1" applyProtection="1">
      <alignment horizontal="center" vertical="center"/>
    </xf>
    <xf numFmtId="0" fontId="27" fillId="0" borderId="0" xfId="15" applyFont="1" applyAlignment="1" applyProtection="1">
      <alignment horizontal="center" vertical="center"/>
    </xf>
    <xf numFmtId="0" fontId="25" fillId="8" borderId="85" xfId="15" applyFont="1" applyFill="1" applyBorder="1" applyAlignment="1" applyProtection="1">
      <alignment horizontal="center" vertical="center" wrapText="1"/>
    </xf>
    <xf numFmtId="0" fontId="3" fillId="0" borderId="0" xfId="15"/>
    <xf numFmtId="0" fontId="26" fillId="0" borderId="0" xfId="15" applyFont="1" applyAlignment="1" applyProtection="1">
      <alignment horizontal="center"/>
    </xf>
    <xf numFmtId="0" fontId="26" fillId="0" borderId="0" xfId="15" applyFont="1" applyAlignment="1" applyProtection="1">
      <alignment horizontal="right"/>
    </xf>
    <xf numFmtId="176" fontId="26" fillId="0" borderId="0" xfId="15" applyNumberFormat="1" applyFont="1" applyAlignment="1" applyProtection="1">
      <alignment horizontal="center"/>
    </xf>
    <xf numFmtId="0" fontId="26" fillId="0" borderId="0" xfId="15" applyFont="1" applyProtection="1"/>
    <xf numFmtId="178" fontId="26" fillId="0" borderId="0" xfId="15" applyNumberFormat="1" applyFont="1" applyProtection="1"/>
    <xf numFmtId="0" fontId="27" fillId="0" borderId="90" xfId="15" applyFont="1" applyBorder="1" applyAlignment="1" applyProtection="1">
      <alignment horizontal="center"/>
    </xf>
    <xf numFmtId="0" fontId="27" fillId="0" borderId="91" xfId="15" applyFont="1" applyBorder="1" applyProtection="1"/>
    <xf numFmtId="166" fontId="27" fillId="0" borderId="136" xfId="15" applyNumberFormat="1" applyFont="1" applyBorder="1" applyProtection="1"/>
    <xf numFmtId="0" fontId="27" fillId="0" borderId="136" xfId="15" applyFont="1" applyBorder="1" applyProtection="1"/>
    <xf numFmtId="0" fontId="3" fillId="0" borderId="0" xfId="15"/>
    <xf numFmtId="0" fontId="26" fillId="0" borderId="0" xfId="15" applyFont="1" applyAlignment="1" applyProtection="1">
      <alignment horizontal="right"/>
    </xf>
    <xf numFmtId="0" fontId="96" fillId="0" borderId="85" xfId="15" applyFont="1" applyBorder="1" applyAlignment="1" applyProtection="1">
      <alignment horizontal="center" vertical="center"/>
    </xf>
    <xf numFmtId="0" fontId="96" fillId="0" borderId="86" xfId="15" applyFont="1" applyBorder="1" applyAlignment="1" applyProtection="1">
      <alignment horizontal="center" vertical="center"/>
    </xf>
    <xf numFmtId="0" fontId="96" fillId="0" borderId="87" xfId="15" applyFont="1" applyBorder="1" applyAlignment="1" applyProtection="1">
      <alignment horizontal="center" vertical="center"/>
    </xf>
    <xf numFmtId="0" fontId="26" fillId="0" borderId="0" xfId="15" applyFont="1" applyAlignment="1">
      <alignment horizontal="right"/>
    </xf>
    <xf numFmtId="164" fontId="96" fillId="3" borderId="93" xfId="15" quotePrefix="1" applyNumberFormat="1" applyFont="1" applyFill="1" applyBorder="1" applyProtection="1">
      <protection locked="0"/>
    </xf>
    <xf numFmtId="164" fontId="96" fillId="3" borderId="92" xfId="15" quotePrefix="1" applyNumberFormat="1" applyFont="1" applyFill="1" applyBorder="1" applyProtection="1">
      <protection locked="0"/>
    </xf>
    <xf numFmtId="164" fontId="96" fillId="3" borderId="94" xfId="15" quotePrefix="1" applyNumberFormat="1" applyFont="1" applyFill="1" applyBorder="1" applyProtection="1">
      <protection locked="0"/>
    </xf>
    <xf numFmtId="0" fontId="26" fillId="0" borderId="0" xfId="15" applyFont="1" applyProtection="1"/>
    <xf numFmtId="179" fontId="25" fillId="8" borderId="87" xfId="15" applyNumberFormat="1" applyFont="1" applyFill="1" applyBorder="1" applyAlignment="1" applyProtection="1">
      <alignment horizontal="center" vertical="center"/>
    </xf>
    <xf numFmtId="167" fontId="27" fillId="0" borderId="68" xfId="15" applyNumberFormat="1" applyFont="1" applyBorder="1" applyAlignment="1" applyProtection="1">
      <alignment horizontal="center" vertical="center"/>
    </xf>
    <xf numFmtId="0" fontId="27" fillId="0" borderId="132" xfId="15" applyFont="1" applyBorder="1" applyAlignment="1" applyProtection="1">
      <alignment horizontal="center" vertical="center"/>
    </xf>
    <xf numFmtId="172" fontId="4" fillId="10" borderId="0" xfId="4" applyNumberFormat="1" applyFont="1" applyFill="1" applyProtection="1"/>
    <xf numFmtId="172" fontId="4" fillId="10" borderId="0" xfId="4" applyNumberFormat="1" applyFont="1" applyFill="1" applyAlignment="1" applyProtection="1">
      <alignment vertical="center"/>
    </xf>
    <xf numFmtId="166" fontId="4" fillId="11" borderId="95" xfId="4" applyNumberFormat="1" applyFont="1" applyFill="1" applyBorder="1" applyAlignment="1" applyProtection="1">
      <alignment horizontal="center" vertical="center"/>
    </xf>
    <xf numFmtId="166" fontId="4" fillId="11" borderId="96" xfId="4" applyNumberFormat="1" applyFont="1" applyFill="1" applyBorder="1" applyAlignment="1" applyProtection="1">
      <alignment horizontal="center" vertical="center"/>
    </xf>
    <xf numFmtId="166" fontId="4" fillId="11" borderId="96" xfId="4" applyNumberFormat="1" applyFont="1" applyFill="1" applyBorder="1" applyAlignment="1" applyProtection="1">
      <alignment horizontal="center" vertical="center" wrapText="1"/>
    </xf>
    <xf numFmtId="172" fontId="4" fillId="11" borderId="97" xfId="4" applyNumberFormat="1" applyFont="1" applyFill="1" applyBorder="1" applyAlignment="1" applyProtection="1">
      <alignment vertical="center"/>
    </xf>
    <xf numFmtId="172" fontId="4" fillId="11" borderId="8" xfId="4" applyNumberFormat="1" applyFont="1" applyFill="1" applyBorder="1" applyAlignment="1" applyProtection="1">
      <alignment vertical="center"/>
    </xf>
    <xf numFmtId="172" fontId="37" fillId="10" borderId="67" xfId="4" applyNumberFormat="1" applyFont="1" applyFill="1" applyBorder="1" applyAlignment="1" applyProtection="1">
      <alignment vertical="center"/>
    </xf>
    <xf numFmtId="172" fontId="37" fillId="12" borderId="99" xfId="4" applyNumberFormat="1" applyFont="1" applyFill="1" applyBorder="1" applyAlignment="1" applyProtection="1">
      <alignment horizontal="center" vertical="center"/>
    </xf>
    <xf numFmtId="2" fontId="4" fillId="12" borderId="100" xfId="4" applyNumberFormat="1" applyFont="1" applyFill="1" applyBorder="1" applyAlignment="1" applyProtection="1">
      <alignment horizontal="right" vertical="center"/>
    </xf>
    <xf numFmtId="2" fontId="4" fillId="12" borderId="101" xfId="4" applyNumberFormat="1" applyFont="1" applyFill="1" applyBorder="1" applyAlignment="1" applyProtection="1">
      <alignment horizontal="right" vertical="center"/>
    </xf>
    <xf numFmtId="2" fontId="4" fillId="12" borderId="101" xfId="4" applyNumberFormat="1" applyFont="1" applyFill="1" applyBorder="1" applyAlignment="1" applyProtection="1">
      <alignment vertical="center"/>
    </xf>
    <xf numFmtId="2" fontId="4" fillId="12" borderId="102" xfId="4" applyNumberFormat="1" applyFont="1" applyFill="1" applyBorder="1" applyAlignment="1" applyProtection="1">
      <alignment vertical="center"/>
    </xf>
    <xf numFmtId="172" fontId="60" fillId="9" borderId="103" xfId="4" applyNumberFormat="1" applyFont="1" applyFill="1" applyBorder="1" applyAlignment="1" applyProtection="1">
      <alignment horizontal="center" vertical="center" wrapText="1"/>
    </xf>
    <xf numFmtId="172" fontId="61" fillId="9" borderId="103" xfId="4" applyNumberFormat="1" applyFont="1" applyFill="1" applyBorder="1" applyAlignment="1" applyProtection="1">
      <alignment horizontal="center" vertical="center" wrapText="1"/>
    </xf>
    <xf numFmtId="172" fontId="37" fillId="13" borderId="0" xfId="4" applyNumberFormat="1" applyFont="1" applyFill="1" applyBorder="1" applyAlignment="1" applyProtection="1">
      <alignment horizontal="center" vertical="center" wrapText="1"/>
    </xf>
    <xf numFmtId="172" fontId="4" fillId="13" borderId="0" xfId="4" applyNumberFormat="1" applyFont="1" applyFill="1" applyAlignment="1" applyProtection="1">
      <alignment vertical="center"/>
    </xf>
    <xf numFmtId="172" fontId="4" fillId="13" borderId="81" xfId="4" applyNumberFormat="1" applyFont="1" applyFill="1" applyBorder="1" applyAlignment="1" applyProtection="1">
      <alignment vertical="center"/>
    </xf>
    <xf numFmtId="172" fontId="62" fillId="9" borderId="95" xfId="4" applyNumberFormat="1" applyFont="1" applyFill="1" applyBorder="1" applyAlignment="1" applyProtection="1">
      <alignment horizontal="center" vertical="center" wrapText="1"/>
    </xf>
    <xf numFmtId="172" fontId="4" fillId="14" borderId="95" xfId="4" applyNumberFormat="1" applyFont="1" applyFill="1" applyBorder="1" applyAlignment="1" applyProtection="1">
      <alignment vertical="center"/>
    </xf>
    <xf numFmtId="172" fontId="4" fillId="10" borderId="96" xfId="4" applyNumberFormat="1" applyFont="1" applyFill="1" applyBorder="1" applyAlignment="1" applyProtection="1">
      <alignment vertical="center"/>
    </xf>
    <xf numFmtId="172" fontId="4" fillId="10" borderId="104" xfId="4" applyNumberFormat="1" applyFont="1" applyFill="1" applyBorder="1" applyAlignment="1" applyProtection="1">
      <alignment vertical="center"/>
    </xf>
    <xf numFmtId="172" fontId="62" fillId="9" borderId="97" xfId="4" applyNumberFormat="1" applyFont="1" applyFill="1" applyBorder="1" applyAlignment="1" applyProtection="1">
      <alignment horizontal="center" vertical="center" wrapText="1"/>
    </xf>
    <xf numFmtId="172" fontId="4" fillId="10" borderId="97" xfId="4" applyNumberFormat="1" applyFont="1" applyFill="1" applyBorder="1" applyAlignment="1" applyProtection="1">
      <alignment vertical="center"/>
    </xf>
    <xf numFmtId="172" fontId="4" fillId="14" borderId="8" xfId="4" applyNumberFormat="1" applyFont="1" applyFill="1" applyBorder="1" applyAlignment="1" applyProtection="1">
      <alignment vertical="center"/>
    </xf>
    <xf numFmtId="172" fontId="4" fillId="10" borderId="8" xfId="4" applyNumberFormat="1" applyFont="1" applyFill="1" applyBorder="1" applyAlignment="1" applyProtection="1">
      <alignment vertical="center"/>
    </xf>
    <xf numFmtId="172" fontId="4" fillId="10" borderId="98" xfId="4" applyNumberFormat="1" applyFont="1" applyFill="1" applyBorder="1" applyAlignment="1" applyProtection="1">
      <alignment vertical="center"/>
    </xf>
    <xf numFmtId="172" fontId="62" fillId="9" borderId="97" xfId="4" applyNumberFormat="1" applyFont="1" applyFill="1" applyBorder="1" applyAlignment="1" applyProtection="1">
      <alignment horizontal="center" vertical="center"/>
    </xf>
    <xf numFmtId="172" fontId="4" fillId="10" borderId="97" xfId="4" applyNumberFormat="1" applyFont="1" applyFill="1" applyBorder="1" applyAlignment="1" applyProtection="1">
      <alignment vertical="center" wrapText="1"/>
    </xf>
    <xf numFmtId="172" fontId="4" fillId="10" borderId="8" xfId="4" applyNumberFormat="1" applyFont="1" applyFill="1" applyBorder="1" applyAlignment="1" applyProtection="1">
      <alignment vertical="center" wrapText="1"/>
    </xf>
    <xf numFmtId="172" fontId="62" fillId="9" borderId="100" xfId="4" applyNumberFormat="1" applyFont="1" applyFill="1" applyBorder="1" applyAlignment="1" applyProtection="1">
      <alignment horizontal="center" vertical="center" wrapText="1"/>
    </xf>
    <xf numFmtId="172" fontId="4" fillId="14" borderId="102" xfId="4" applyNumberFormat="1" applyFont="1" applyFill="1" applyBorder="1" applyAlignment="1" applyProtection="1">
      <alignment vertical="center" wrapText="1"/>
    </xf>
    <xf numFmtId="172" fontId="37" fillId="15" borderId="105" xfId="4" applyNumberFormat="1" applyFont="1" applyFill="1" applyBorder="1" applyAlignment="1" applyProtection="1">
      <alignment horizontal="right" vertical="center"/>
    </xf>
    <xf numFmtId="172" fontId="4" fillId="13" borderId="99" xfId="15" applyNumberFormat="1" applyFont="1" applyFill="1" applyBorder="1" applyAlignment="1" applyProtection="1">
      <alignment horizontal="right" vertical="center"/>
    </xf>
    <xf numFmtId="172" fontId="4" fillId="13" borderId="106" xfId="15" applyNumberFormat="1" applyFont="1" applyFill="1" applyBorder="1" applyAlignment="1" applyProtection="1">
      <alignment vertical="center"/>
    </xf>
    <xf numFmtId="172" fontId="4" fillId="10" borderId="107" xfId="4" applyNumberFormat="1" applyFont="1" applyFill="1" applyBorder="1" applyAlignment="1" applyProtection="1">
      <alignment vertical="center"/>
    </xf>
    <xf numFmtId="172" fontId="4" fillId="10" borderId="16" xfId="4" applyNumberFormat="1" applyFont="1" applyFill="1" applyBorder="1" applyAlignment="1" applyProtection="1">
      <alignment vertical="center"/>
    </xf>
    <xf numFmtId="166" fontId="63" fillId="10" borderId="108" xfId="4" applyNumberFormat="1" applyFont="1" applyFill="1" applyBorder="1" applyAlignment="1" applyProtection="1">
      <alignment horizontal="center" vertical="center" wrapText="1"/>
    </xf>
    <xf numFmtId="166" fontId="65" fillId="10" borderId="103" xfId="4" applyNumberFormat="1" applyFont="1" applyFill="1" applyBorder="1" applyAlignment="1" applyProtection="1">
      <alignment horizontal="right" vertical="center"/>
    </xf>
    <xf numFmtId="166" fontId="67" fillId="10" borderId="109" xfId="4" applyNumberFormat="1" applyFont="1" applyFill="1" applyBorder="1" applyAlignment="1" applyProtection="1">
      <alignment horizontal="center" vertical="center" wrapText="1"/>
    </xf>
    <xf numFmtId="166" fontId="37" fillId="12" borderId="103" xfId="4" applyNumberFormat="1" applyFont="1" applyFill="1" applyBorder="1" applyAlignment="1" applyProtection="1">
      <alignment horizontal="right" vertical="center"/>
    </xf>
    <xf numFmtId="2" fontId="4" fillId="12" borderId="103" xfId="4" applyNumberFormat="1" applyFont="1" applyFill="1" applyBorder="1" applyAlignment="1" applyProtection="1">
      <alignment vertical="center"/>
    </xf>
    <xf numFmtId="173" fontId="69" fillId="10" borderId="110" xfId="16" applyNumberFormat="1" applyFont="1" applyFill="1" applyBorder="1" applyAlignment="1" applyProtection="1">
      <alignment vertical="center"/>
    </xf>
    <xf numFmtId="173" fontId="69" fillId="10" borderId="111" xfId="16" applyNumberFormat="1" applyFont="1" applyFill="1" applyBorder="1" applyAlignment="1" applyProtection="1">
      <alignment vertical="center"/>
    </xf>
    <xf numFmtId="173" fontId="69" fillId="10" borderId="112" xfId="16" applyNumberFormat="1" applyFont="1" applyFill="1" applyBorder="1" applyAlignment="1" applyProtection="1">
      <alignment vertical="center"/>
    </xf>
    <xf numFmtId="173" fontId="69" fillId="10" borderId="137" xfId="16" applyNumberFormat="1" applyFont="1" applyFill="1" applyBorder="1" applyAlignment="1" applyProtection="1">
      <alignment vertical="center"/>
    </xf>
    <xf numFmtId="1" fontId="4" fillId="10" borderId="103" xfId="4" applyNumberFormat="1" applyFont="1" applyFill="1" applyBorder="1" applyAlignment="1" applyProtection="1">
      <alignment vertical="center"/>
    </xf>
    <xf numFmtId="172" fontId="73" fillId="10" borderId="138" xfId="4" applyNumberFormat="1" applyFont="1" applyFill="1" applyBorder="1" applyAlignment="1" applyProtection="1">
      <alignment vertical="center"/>
    </xf>
    <xf numFmtId="172" fontId="73" fillId="10" borderId="139" xfId="4" applyNumberFormat="1" applyFont="1" applyFill="1" applyBorder="1" applyAlignment="1" applyProtection="1">
      <alignment vertical="center"/>
    </xf>
    <xf numFmtId="172" fontId="73" fillId="10" borderId="140" xfId="4" applyNumberFormat="1" applyFont="1" applyFill="1" applyBorder="1" applyAlignment="1" applyProtection="1">
      <alignment vertical="center"/>
    </xf>
    <xf numFmtId="166" fontId="74" fillId="10" borderId="140" xfId="4" applyNumberFormat="1" applyFont="1" applyFill="1" applyBorder="1" applyAlignment="1" applyProtection="1">
      <alignment horizontal="center" vertical="center" wrapText="1"/>
    </xf>
    <xf numFmtId="166" fontId="76" fillId="10" borderId="137" xfId="4" applyNumberFormat="1" applyFont="1" applyFill="1" applyBorder="1" applyAlignment="1" applyProtection="1">
      <alignment horizontal="center"/>
    </xf>
    <xf numFmtId="10" fontId="77" fillId="10" borderId="35" xfId="16" applyNumberFormat="1" applyFont="1" applyFill="1" applyBorder="1" applyAlignment="1" applyProtection="1">
      <alignment vertical="center"/>
    </xf>
    <xf numFmtId="166" fontId="63" fillId="10" borderId="46" xfId="4" applyNumberFormat="1" applyFont="1" applyFill="1" applyBorder="1" applyAlignment="1" applyProtection="1">
      <alignment vertical="center"/>
    </xf>
    <xf numFmtId="179" fontId="25" fillId="0" borderId="134" xfId="15" applyNumberFormat="1" applyFont="1" applyBorder="1" applyAlignment="1" applyProtection="1">
      <alignment horizontal="center" vertical="center"/>
    </xf>
    <xf numFmtId="177" fontId="26" fillId="0" borderId="0" xfId="15" applyNumberFormat="1" applyFont="1" applyProtection="1"/>
    <xf numFmtId="175" fontId="26" fillId="0" borderId="0" xfId="15" applyNumberFormat="1" applyFont="1" applyProtection="1"/>
    <xf numFmtId="172" fontId="4" fillId="11" borderId="98" xfId="4" applyNumberFormat="1" applyFont="1" applyFill="1" applyBorder="1" applyAlignment="1" applyProtection="1">
      <alignment vertical="center"/>
    </xf>
    <xf numFmtId="172" fontId="4" fillId="15" borderId="105" xfId="4" applyNumberFormat="1" applyFont="1" applyFill="1" applyBorder="1" applyAlignment="1" applyProtection="1">
      <alignment vertical="center"/>
    </xf>
    <xf numFmtId="172" fontId="4" fillId="15" borderId="103" xfId="4" applyNumberFormat="1" applyFont="1" applyFill="1" applyBorder="1" applyAlignment="1" applyProtection="1">
      <alignment vertical="center"/>
    </xf>
    <xf numFmtId="172" fontId="4" fillId="10" borderId="103" xfId="4" applyNumberFormat="1" applyFont="1" applyFill="1" applyBorder="1" applyAlignment="1" applyProtection="1">
      <alignment vertical="center"/>
    </xf>
    <xf numFmtId="172" fontId="4" fillId="3" borderId="102" xfId="4" applyNumberFormat="1" applyFont="1" applyFill="1" applyBorder="1" applyAlignment="1" applyProtection="1">
      <alignment horizontal="right" vertical="center"/>
    </xf>
    <xf numFmtId="0" fontId="4" fillId="10" borderId="101" xfId="4" applyNumberFormat="1" applyFont="1" applyFill="1" applyBorder="1" applyAlignment="1" applyProtection="1">
      <alignment vertical="center"/>
    </xf>
    <xf numFmtId="0" fontId="4" fillId="10" borderId="102" xfId="4" applyNumberFormat="1" applyFont="1" applyFill="1" applyBorder="1" applyAlignment="1" applyProtection="1">
      <alignment vertical="center"/>
    </xf>
    <xf numFmtId="171" fontId="38" fillId="0" borderId="85" xfId="18" applyNumberFormat="1" applyFont="1" applyFill="1" applyBorder="1" applyAlignment="1" applyProtection="1">
      <alignment horizontal="center" vertical="center" wrapText="1"/>
    </xf>
    <xf numFmtId="0" fontId="50" fillId="0" borderId="86" xfId="18" applyNumberFormat="1" applyFont="1" applyFill="1" applyBorder="1" applyAlignment="1" applyProtection="1">
      <alignment horizontal="center" vertical="center" wrapText="1"/>
    </xf>
    <xf numFmtId="0" fontId="38" fillId="0" borderId="86" xfId="18" applyFont="1" applyBorder="1" applyAlignment="1" applyProtection="1">
      <alignment horizontal="center" vertical="center" wrapText="1"/>
    </xf>
    <xf numFmtId="0" fontId="38" fillId="0" borderId="87" xfId="18" applyFont="1" applyBorder="1" applyAlignment="1" applyProtection="1">
      <alignment horizontal="center" vertical="center" wrapText="1"/>
    </xf>
    <xf numFmtId="0" fontId="3" fillId="0" borderId="0" xfId="18" applyFont="1" applyAlignment="1" applyProtection="1">
      <alignment horizontal="center" vertical="center"/>
    </xf>
    <xf numFmtId="165" fontId="3" fillId="0" borderId="115" xfId="18" applyNumberFormat="1" applyFont="1" applyBorder="1" applyAlignment="1" applyProtection="1">
      <alignment horizontal="center"/>
    </xf>
    <xf numFmtId="0" fontId="38" fillId="8" borderId="92" xfId="18" applyFont="1" applyFill="1" applyBorder="1" applyAlignment="1" applyProtection="1">
      <alignment horizontal="center" vertical="center" wrapText="1"/>
    </xf>
    <xf numFmtId="0" fontId="3" fillId="0" borderId="71" xfId="18" quotePrefix="1" applyFont="1" applyBorder="1" applyAlignment="1" applyProtection="1">
      <alignment horizontal="center" vertical="center"/>
    </xf>
    <xf numFmtId="0" fontId="38" fillId="0" borderId="72" xfId="18" applyFont="1" applyBorder="1" applyAlignment="1" applyProtection="1">
      <alignment horizontal="center" vertical="center" wrapText="1"/>
    </xf>
    <xf numFmtId="0" fontId="3" fillId="0" borderId="141" xfId="18" quotePrefix="1" applyFont="1" applyBorder="1" applyAlignment="1" applyProtection="1">
      <alignment horizontal="center" vertical="center"/>
    </xf>
    <xf numFmtId="0" fontId="38" fillId="0" borderId="142" xfId="18" applyFont="1" applyBorder="1" applyAlignment="1" applyProtection="1">
      <alignment horizontal="center" vertical="center" wrapText="1"/>
    </xf>
    <xf numFmtId="0" fontId="3" fillId="0" borderId="144" xfId="18" quotePrefix="1" applyFont="1" applyBorder="1" applyAlignment="1" applyProtection="1">
      <alignment horizontal="center" vertical="center"/>
    </xf>
    <xf numFmtId="0" fontId="38" fillId="0" borderId="145" xfId="18" applyFont="1" applyBorder="1" applyAlignment="1" applyProtection="1">
      <alignment horizontal="center" vertical="center" wrapText="1"/>
    </xf>
    <xf numFmtId="2" fontId="3" fillId="0" borderId="72" xfId="18" applyNumberFormat="1" applyFont="1" applyBorder="1" applyAlignment="1" applyProtection="1">
      <alignment horizontal="center" vertical="center"/>
    </xf>
    <xf numFmtId="2" fontId="3" fillId="0" borderId="145" xfId="18" applyNumberFormat="1" applyFont="1" applyBorder="1" applyAlignment="1" applyProtection="1">
      <alignment horizontal="center" vertical="center"/>
    </xf>
    <xf numFmtId="180" fontId="3" fillId="0" borderId="143" xfId="18" applyNumberFormat="1" applyFont="1" applyBorder="1" applyAlignment="1" applyProtection="1">
      <alignment horizontal="center" vertical="center"/>
    </xf>
    <xf numFmtId="180" fontId="3" fillId="0" borderId="146" xfId="18" applyNumberFormat="1" applyFont="1" applyBorder="1" applyAlignment="1" applyProtection="1">
      <alignment horizontal="center" vertical="center"/>
    </xf>
    <xf numFmtId="2" fontId="3" fillId="0" borderId="68" xfId="18" applyNumberFormat="1" applyFont="1" applyBorder="1" applyAlignment="1" applyProtection="1">
      <alignment horizontal="center" vertical="center"/>
    </xf>
    <xf numFmtId="180" fontId="97" fillId="0" borderId="68" xfId="18" applyNumberFormat="1" applyFont="1" applyBorder="1" applyAlignment="1" applyProtection="1">
      <alignment horizontal="right"/>
    </xf>
    <xf numFmtId="180" fontId="97" fillId="0" borderId="88" xfId="18" applyNumberFormat="1" applyFont="1" applyBorder="1" applyAlignment="1" applyProtection="1">
      <alignment horizontal="right"/>
    </xf>
    <xf numFmtId="180" fontId="97" fillId="0" borderId="149" xfId="18" applyNumberFormat="1" applyFont="1" applyBorder="1" applyAlignment="1" applyProtection="1">
      <alignment horizontal="right"/>
    </xf>
    <xf numFmtId="180" fontId="97" fillId="0" borderId="148" xfId="18" applyNumberFormat="1" applyFont="1" applyBorder="1" applyAlignment="1" applyProtection="1">
      <alignment horizontal="right"/>
    </xf>
    <xf numFmtId="0" fontId="38" fillId="0" borderId="85" xfId="18" applyFont="1" applyBorder="1" applyAlignment="1" applyProtection="1">
      <alignment horizontal="center" wrapText="1"/>
    </xf>
    <xf numFmtId="0" fontId="38" fillId="0" borderId="86" xfId="18" applyFont="1" applyBorder="1" applyAlignment="1" applyProtection="1">
      <alignment horizontal="center" wrapText="1"/>
    </xf>
    <xf numFmtId="0" fontId="38" fillId="0" borderId="87" xfId="18" applyFont="1" applyBorder="1" applyAlignment="1" applyProtection="1">
      <alignment horizontal="center" wrapText="1"/>
    </xf>
    <xf numFmtId="1" fontId="3" fillId="0" borderId="89" xfId="18" applyNumberFormat="1" applyFont="1" applyBorder="1" applyAlignment="1" applyProtection="1">
      <alignment horizontal="center"/>
    </xf>
    <xf numFmtId="180" fontId="3" fillId="0" borderId="68" xfId="18" applyNumberFormat="1" applyFont="1" applyBorder="1" applyAlignment="1" applyProtection="1">
      <alignment horizontal="right"/>
    </xf>
    <xf numFmtId="1" fontId="3" fillId="0" borderId="147" xfId="18" applyNumberFormat="1" applyFont="1" applyBorder="1" applyAlignment="1" applyProtection="1">
      <alignment horizontal="center"/>
    </xf>
    <xf numFmtId="180" fontId="3" fillId="0" borderId="148" xfId="18" applyNumberFormat="1" applyFont="1" applyBorder="1" applyAlignment="1" applyProtection="1">
      <alignment horizontal="right"/>
    </xf>
    <xf numFmtId="1" fontId="3" fillId="0" borderId="150" xfId="18" applyNumberFormat="1" applyFont="1" applyBorder="1" applyAlignment="1" applyProtection="1">
      <alignment horizontal="center"/>
    </xf>
    <xf numFmtId="180" fontId="3" fillId="0" borderId="151" xfId="18" applyNumberFormat="1" applyFont="1" applyBorder="1" applyAlignment="1" applyProtection="1">
      <alignment horizontal="right"/>
    </xf>
    <xf numFmtId="180" fontId="97" fillId="0" borderId="151" xfId="18" applyNumberFormat="1" applyFont="1" applyBorder="1" applyAlignment="1" applyProtection="1">
      <alignment horizontal="right"/>
    </xf>
    <xf numFmtId="180" fontId="97" fillId="0" borderId="152" xfId="18" applyNumberFormat="1" applyFont="1" applyBorder="1" applyAlignment="1" applyProtection="1">
      <alignment horizontal="right"/>
    </xf>
    <xf numFmtId="0" fontId="27" fillId="0" borderId="0" xfId="18" applyFont="1" applyProtection="1"/>
    <xf numFmtId="0" fontId="25" fillId="0" borderId="90" xfId="18" applyFont="1" applyBorder="1" applyAlignment="1" applyProtection="1">
      <alignment horizontal="center" vertical="center"/>
    </xf>
    <xf numFmtId="0" fontId="27" fillId="0" borderId="0" xfId="18" applyFont="1" applyAlignment="1" applyProtection="1">
      <alignment horizontal="right"/>
    </xf>
    <xf numFmtId="164" fontId="25" fillId="5" borderId="84" xfId="18" quotePrefix="1" applyNumberFormat="1" applyFont="1" applyFill="1" applyBorder="1" applyProtection="1">
      <protection locked="0"/>
    </xf>
    <xf numFmtId="166" fontId="79" fillId="10" borderId="0" xfId="4" applyNumberFormat="1" applyFont="1" applyFill="1" applyAlignment="1" applyProtection="1">
      <alignment vertical="center"/>
    </xf>
    <xf numFmtId="166" fontId="94" fillId="11" borderId="95" xfId="4" applyNumberFormat="1" applyFont="1" applyFill="1" applyBorder="1" applyAlignment="1" applyProtection="1">
      <alignment horizontal="center" vertical="center"/>
    </xf>
    <xf numFmtId="166" fontId="94" fillId="11" borderId="96" xfId="4" applyNumberFormat="1" applyFont="1" applyFill="1" applyBorder="1" applyAlignment="1" applyProtection="1">
      <alignment horizontal="center" vertical="center"/>
    </xf>
    <xf numFmtId="166" fontId="94" fillId="11" borderId="104" xfId="4" applyNumberFormat="1" applyFont="1" applyFill="1" applyBorder="1" applyAlignment="1" applyProtection="1">
      <alignment horizontal="center" vertical="center" wrapText="1"/>
    </xf>
    <xf numFmtId="166" fontId="79" fillId="10" borderId="0" xfId="4" applyNumberFormat="1" applyFont="1" applyFill="1" applyProtection="1"/>
    <xf numFmtId="166" fontId="31" fillId="10" borderId="67" xfId="4" applyNumberFormat="1" applyFont="1" applyFill="1" applyBorder="1" applyAlignment="1" applyProtection="1">
      <alignment vertical="center"/>
    </xf>
    <xf numFmtId="166" fontId="31" fillId="12" borderId="99" xfId="4" applyNumberFormat="1" applyFont="1" applyFill="1" applyBorder="1" applyAlignment="1" applyProtection="1">
      <alignment horizontal="center" vertical="center"/>
    </xf>
    <xf numFmtId="2" fontId="79" fillId="12" borderId="100" xfId="4" applyNumberFormat="1" applyFont="1" applyFill="1" applyBorder="1" applyAlignment="1" applyProtection="1">
      <alignment horizontal="right" vertical="center"/>
    </xf>
    <xf numFmtId="2" fontId="79" fillId="12" borderId="101" xfId="4" applyNumberFormat="1" applyFont="1" applyFill="1" applyBorder="1" applyAlignment="1" applyProtection="1">
      <alignment vertical="center"/>
    </xf>
    <xf numFmtId="2" fontId="79" fillId="12" borderId="102" xfId="4" applyNumberFormat="1" applyFont="1" applyFill="1" applyBorder="1" applyAlignment="1" applyProtection="1">
      <alignment vertical="center"/>
    </xf>
    <xf numFmtId="166" fontId="80" fillId="9" borderId="103" xfId="4" applyNumberFormat="1" applyFont="1" applyFill="1" applyBorder="1" applyAlignment="1" applyProtection="1">
      <alignment horizontal="center" vertical="center" wrapText="1"/>
    </xf>
    <xf numFmtId="166" fontId="81" fillId="9" borderId="103" xfId="4" applyNumberFormat="1" applyFont="1" applyFill="1" applyBorder="1" applyAlignment="1" applyProtection="1">
      <alignment horizontal="center" vertical="center" wrapText="1"/>
    </xf>
    <xf numFmtId="166" fontId="31" fillId="13" borderId="0" xfId="4" applyNumberFormat="1" applyFont="1" applyFill="1" applyBorder="1" applyAlignment="1" applyProtection="1">
      <alignment horizontal="center" vertical="center" wrapText="1"/>
    </xf>
    <xf numFmtId="166" fontId="79" fillId="13" borderId="0" xfId="4" applyNumberFormat="1" applyFont="1" applyFill="1" applyAlignment="1" applyProtection="1">
      <alignment vertical="center"/>
    </xf>
    <xf numFmtId="166" fontId="79" fillId="13" borderId="81" xfId="4" applyNumberFormat="1" applyFont="1" applyFill="1" applyBorder="1" applyAlignment="1" applyProtection="1">
      <alignment vertical="center"/>
    </xf>
    <xf numFmtId="0" fontId="29" fillId="0" borderId="113" xfId="18" applyFont="1" applyBorder="1" applyAlignment="1" applyProtection="1">
      <alignment horizontal="center" vertical="center" wrapText="1"/>
    </xf>
    <xf numFmtId="172" fontId="79" fillId="10" borderId="96" xfId="4" applyNumberFormat="1" applyFont="1" applyFill="1" applyBorder="1" applyAlignment="1" applyProtection="1">
      <alignment vertical="center"/>
    </xf>
    <xf numFmtId="172" fontId="79" fillId="10" borderId="104" xfId="4" applyNumberFormat="1" applyFont="1" applyFill="1" applyBorder="1" applyAlignment="1" applyProtection="1">
      <alignment vertical="center"/>
    </xf>
    <xf numFmtId="172" fontId="79" fillId="10" borderId="98" xfId="4" applyNumberFormat="1" applyFont="1" applyFill="1" applyBorder="1" applyAlignment="1" applyProtection="1">
      <alignment vertical="center"/>
    </xf>
    <xf numFmtId="172" fontId="79" fillId="10" borderId="8" xfId="4" applyNumberFormat="1" applyFont="1" applyFill="1" applyBorder="1" applyAlignment="1" applyProtection="1">
      <alignment vertical="center" wrapText="1"/>
    </xf>
    <xf numFmtId="166" fontId="31" fillId="15" borderId="105" xfId="4" applyNumberFormat="1" applyFont="1" applyFill="1" applyBorder="1" applyAlignment="1" applyProtection="1">
      <alignment horizontal="right" vertical="center"/>
    </xf>
    <xf numFmtId="166" fontId="79" fillId="10" borderId="82" xfId="4" applyNumberFormat="1" applyFont="1" applyFill="1" applyBorder="1" applyAlignment="1" applyProtection="1">
      <alignment vertical="center"/>
    </xf>
    <xf numFmtId="0" fontId="79" fillId="13" borderId="99" xfId="18" applyFont="1" applyFill="1" applyBorder="1" applyAlignment="1" applyProtection="1">
      <alignment horizontal="right" vertical="center"/>
    </xf>
    <xf numFmtId="172" fontId="79" fillId="13" borderId="106" xfId="18" applyNumberFormat="1" applyFont="1" applyFill="1" applyBorder="1" applyAlignment="1" applyProtection="1">
      <alignment vertical="center"/>
    </xf>
    <xf numFmtId="166" fontId="82" fillId="10" borderId="108" xfId="4" applyNumberFormat="1" applyFont="1" applyFill="1" applyBorder="1" applyAlignment="1" applyProtection="1">
      <alignment horizontal="center" vertical="center" wrapText="1"/>
    </xf>
    <xf numFmtId="166" fontId="82" fillId="10" borderId="103" xfId="4" applyNumberFormat="1" applyFont="1" applyFill="1" applyBorder="1" applyAlignment="1" applyProtection="1">
      <alignment horizontal="right" vertical="center"/>
    </xf>
    <xf numFmtId="166" fontId="31" fillId="10" borderId="109" xfId="4" applyNumberFormat="1" applyFont="1" applyFill="1" applyBorder="1" applyAlignment="1" applyProtection="1">
      <alignment horizontal="center" vertical="center" wrapText="1"/>
    </xf>
    <xf numFmtId="166" fontId="31" fillId="12" borderId="103" xfId="4" applyNumberFormat="1" applyFont="1" applyFill="1" applyBorder="1" applyAlignment="1" applyProtection="1">
      <alignment horizontal="right" vertical="center"/>
    </xf>
    <xf numFmtId="2" fontId="79" fillId="12" borderId="103" xfId="4" applyNumberFormat="1" applyFont="1" applyFill="1" applyBorder="1" applyAlignment="1" applyProtection="1">
      <alignment vertical="center"/>
    </xf>
    <xf numFmtId="173" fontId="86" fillId="10" borderId="112" xfId="19" applyNumberFormat="1" applyFont="1" applyFill="1" applyBorder="1" applyAlignment="1" applyProtection="1">
      <alignment vertical="center"/>
    </xf>
    <xf numFmtId="1" fontId="79" fillId="10" borderId="103" xfId="4" applyNumberFormat="1" applyFont="1" applyFill="1" applyBorder="1" applyAlignment="1" applyProtection="1">
      <alignment vertical="center"/>
    </xf>
    <xf numFmtId="166" fontId="91" fillId="10" borderId="156" xfId="4" applyNumberFormat="1" applyFont="1" applyFill="1" applyBorder="1" applyAlignment="1" applyProtection="1">
      <alignment horizontal="center" vertical="center" wrapText="1"/>
    </xf>
    <xf numFmtId="166" fontId="93" fillId="10" borderId="153" xfId="4" applyNumberFormat="1" applyFont="1" applyFill="1" applyBorder="1" applyAlignment="1" applyProtection="1">
      <alignment horizontal="center"/>
    </xf>
    <xf numFmtId="172" fontId="79" fillId="10" borderId="0" xfId="4" applyNumberFormat="1" applyFont="1" applyFill="1" applyBorder="1" applyAlignment="1" applyProtection="1">
      <alignment vertical="center"/>
    </xf>
    <xf numFmtId="166" fontId="82" fillId="10" borderId="46" xfId="4" applyNumberFormat="1" applyFont="1" applyFill="1" applyBorder="1" applyAlignment="1" applyProtection="1">
      <alignment vertical="center"/>
    </xf>
    <xf numFmtId="172" fontId="79" fillId="6" borderId="104" xfId="4" applyNumberFormat="1" applyFont="1" applyFill="1" applyBorder="1" applyAlignment="1" applyProtection="1">
      <alignment horizontal="right" vertical="center" wrapText="1"/>
      <protection locked="0"/>
    </xf>
    <xf numFmtId="172" fontId="79" fillId="6" borderId="98" xfId="4" applyNumberFormat="1" applyFont="1" applyFill="1" applyBorder="1" applyAlignment="1" applyProtection="1">
      <alignment vertical="center"/>
      <protection locked="0"/>
    </xf>
    <xf numFmtId="172" fontId="79" fillId="6" borderId="102" xfId="4" applyNumberFormat="1" applyFont="1" applyFill="1" applyBorder="1" applyAlignment="1" applyProtection="1">
      <alignment vertical="center"/>
    </xf>
    <xf numFmtId="165" fontId="94" fillId="11" borderId="97" xfId="4" applyNumberFormat="1" applyFont="1" applyFill="1" applyBorder="1" applyAlignment="1" applyProtection="1">
      <alignment vertical="center"/>
    </xf>
    <xf numFmtId="174" fontId="94" fillId="11" borderId="8" xfId="4" applyNumberFormat="1" applyFont="1" applyFill="1" applyBorder="1" applyAlignment="1" applyProtection="1">
      <alignment vertical="center"/>
    </xf>
    <xf numFmtId="2" fontId="94" fillId="11" borderId="98" xfId="4" applyNumberFormat="1" applyFont="1" applyFill="1" applyBorder="1" applyAlignment="1" applyProtection="1">
      <alignment vertical="center"/>
    </xf>
    <xf numFmtId="172" fontId="79" fillId="14" borderId="95" xfId="4" applyNumberFormat="1" applyFont="1" applyFill="1" applyBorder="1" applyAlignment="1" applyProtection="1">
      <alignment vertical="center"/>
    </xf>
    <xf numFmtId="172" fontId="79" fillId="10" borderId="97" xfId="4" applyNumberFormat="1" applyFont="1" applyFill="1" applyBorder="1" applyAlignment="1" applyProtection="1">
      <alignment vertical="center"/>
    </xf>
    <xf numFmtId="172" fontId="79" fillId="14" borderId="8" xfId="4" applyNumberFormat="1" applyFont="1" applyFill="1" applyBorder="1" applyAlignment="1" applyProtection="1">
      <alignment vertical="center"/>
    </xf>
    <xf numFmtId="172" fontId="79" fillId="10" borderId="97" xfId="4" applyNumberFormat="1" applyFont="1" applyFill="1" applyBorder="1" applyAlignment="1" applyProtection="1">
      <alignment vertical="center" wrapText="1"/>
    </xf>
    <xf numFmtId="172" fontId="79" fillId="14" borderId="102" xfId="4" applyNumberFormat="1" applyFont="1" applyFill="1" applyBorder="1" applyAlignment="1" applyProtection="1">
      <alignment vertical="center" wrapText="1"/>
    </xf>
    <xf numFmtId="165" fontId="79" fillId="15" borderId="105" xfId="4" applyNumberFormat="1" applyFont="1" applyFill="1" applyBorder="1" applyAlignment="1" applyProtection="1">
      <alignment vertical="center"/>
    </xf>
    <xf numFmtId="172" fontId="79" fillId="10" borderId="107" xfId="4" applyNumberFormat="1" applyFont="1" applyFill="1" applyBorder="1" applyAlignment="1" applyProtection="1">
      <alignment vertical="center"/>
    </xf>
    <xf numFmtId="172" fontId="79" fillId="10" borderId="16" xfId="4" applyNumberFormat="1" applyFont="1" applyFill="1" applyBorder="1" applyAlignment="1" applyProtection="1">
      <alignment vertical="center"/>
    </xf>
    <xf numFmtId="165" fontId="79" fillId="10" borderId="103" xfId="4" applyNumberFormat="1" applyFont="1" applyFill="1" applyBorder="1" applyAlignment="1" applyProtection="1">
      <alignment vertical="center"/>
    </xf>
    <xf numFmtId="172" fontId="79" fillId="10" borderId="100" xfId="4" applyNumberFormat="1" applyFont="1" applyFill="1" applyBorder="1" applyAlignment="1" applyProtection="1">
      <alignment vertical="center"/>
    </xf>
    <xf numFmtId="172" fontId="79" fillId="10" borderId="101" xfId="4" applyNumberFormat="1" applyFont="1" applyFill="1" applyBorder="1" applyAlignment="1" applyProtection="1">
      <alignment vertical="center"/>
    </xf>
    <xf numFmtId="172" fontId="79" fillId="10" borderId="102" xfId="4" applyNumberFormat="1" applyFont="1" applyFill="1" applyBorder="1" applyAlignment="1" applyProtection="1">
      <alignment vertical="center"/>
    </xf>
    <xf numFmtId="173" fontId="86" fillId="10" borderId="110" xfId="19" applyNumberFormat="1" applyFont="1" applyFill="1" applyBorder="1" applyAlignment="1" applyProtection="1">
      <alignment vertical="center"/>
    </xf>
    <xf numFmtId="173" fontId="86" fillId="10" borderId="111" xfId="19" applyNumberFormat="1" applyFont="1" applyFill="1" applyBorder="1" applyAlignment="1" applyProtection="1">
      <alignment vertical="center"/>
    </xf>
    <xf numFmtId="173" fontId="86" fillId="10" borderId="153" xfId="19" applyNumberFormat="1" applyFont="1" applyFill="1" applyBorder="1" applyAlignment="1" applyProtection="1">
      <alignment vertical="center"/>
    </xf>
    <xf numFmtId="172" fontId="90" fillId="10" borderId="154" xfId="4" applyNumberFormat="1" applyFont="1" applyFill="1" applyBorder="1" applyAlignment="1" applyProtection="1">
      <alignment vertical="center"/>
    </xf>
    <xf numFmtId="172" fontId="90" fillId="10" borderId="155" xfId="4" applyNumberFormat="1" applyFont="1" applyFill="1" applyBorder="1" applyAlignment="1" applyProtection="1">
      <alignment vertical="center"/>
    </xf>
    <xf numFmtId="10" fontId="79" fillId="10" borderId="35" xfId="19" applyNumberFormat="1" applyFont="1" applyFill="1" applyBorder="1" applyAlignment="1" applyProtection="1">
      <alignment vertical="center"/>
    </xf>
    <xf numFmtId="180" fontId="38" fillId="8" borderId="94" xfId="18" applyNumberFormat="1" applyFont="1" applyFill="1" applyBorder="1" applyAlignment="1" applyProtection="1">
      <alignment horizontal="center" vertical="center"/>
    </xf>
    <xf numFmtId="180" fontId="97" fillId="0" borderId="114" xfId="18" applyNumberFormat="1" applyFont="1" applyBorder="1" applyAlignment="1" applyProtection="1">
      <alignment horizontal="center"/>
    </xf>
    <xf numFmtId="0" fontId="17" fillId="0" borderId="18" xfId="0" applyFont="1" applyBorder="1" applyAlignment="1" applyProtection="1">
      <alignment horizontal="left" vertical="center"/>
    </xf>
    <xf numFmtId="0" fontId="17" fillId="0" borderId="0" xfId="0" applyFont="1" applyBorder="1" applyAlignment="1" applyProtection="1">
      <alignment horizontal="left" vertical="center"/>
    </xf>
    <xf numFmtId="0" fontId="13" fillId="0" borderId="20" xfId="0" applyFont="1" applyBorder="1" applyAlignment="1" applyProtection="1">
      <alignment horizontal="center" vertical="center" wrapText="1"/>
    </xf>
    <xf numFmtId="0" fontId="13" fillId="0" borderId="17" xfId="0" applyFont="1" applyBorder="1" applyAlignment="1" applyProtection="1">
      <alignment horizontal="left" vertical="center"/>
    </xf>
    <xf numFmtId="0" fontId="13" fillId="0" borderId="35" xfId="0" applyFont="1" applyBorder="1" applyAlignment="1" applyProtection="1">
      <alignment horizontal="left"/>
    </xf>
    <xf numFmtId="0" fontId="13" fillId="0" borderId="17" xfId="0" applyFont="1" applyBorder="1" applyAlignment="1" applyProtection="1">
      <alignment horizontal="left"/>
    </xf>
    <xf numFmtId="0" fontId="13" fillId="0" borderId="36" xfId="0" applyFont="1" applyBorder="1" applyAlignment="1" applyProtection="1">
      <alignment horizontal="left"/>
    </xf>
    <xf numFmtId="0" fontId="7" fillId="0" borderId="35" xfId="0" applyFont="1" applyBorder="1" applyAlignment="1" applyProtection="1">
      <alignment horizontal="left"/>
    </xf>
    <xf numFmtId="0" fontId="13" fillId="3" borderId="8" xfId="0" applyFont="1" applyFill="1" applyBorder="1" applyAlignment="1" applyProtection="1">
      <alignment horizontal="center" vertical="center" wrapText="1"/>
      <protection locked="0"/>
    </xf>
    <xf numFmtId="0" fontId="13" fillId="3" borderId="25" xfId="0" applyFont="1" applyFill="1" applyBorder="1" applyAlignment="1" applyProtection="1">
      <alignment horizontal="center" vertical="center" wrapText="1"/>
      <protection locked="0"/>
    </xf>
    <xf numFmtId="164" fontId="13" fillId="2" borderId="160" xfId="0" applyNumberFormat="1" applyFont="1" applyFill="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28" fillId="2" borderId="52" xfId="0" quotePrefix="1" applyFont="1" applyFill="1" applyBorder="1" applyAlignment="1" applyProtection="1">
      <alignment horizontal="center" vertical="center"/>
    </xf>
    <xf numFmtId="0" fontId="13" fillId="6" borderId="16" xfId="0" applyFont="1" applyFill="1" applyBorder="1" applyAlignment="1" applyProtection="1">
      <alignment horizontal="center" vertical="center" wrapText="1"/>
    </xf>
    <xf numFmtId="0" fontId="13" fillId="6" borderId="20" xfId="0" applyFont="1" applyFill="1" applyBorder="1" applyProtection="1"/>
    <xf numFmtId="0" fontId="13" fillId="6" borderId="159" xfId="0" applyFont="1" applyFill="1" applyBorder="1" applyAlignment="1" applyProtection="1">
      <alignment horizontal="center" vertical="center" wrapText="1"/>
    </xf>
    <xf numFmtId="0" fontId="28" fillId="6" borderId="29" xfId="0" quotePrefix="1" applyFont="1" applyFill="1" applyBorder="1" applyAlignment="1" applyProtection="1">
      <alignment horizontal="center" vertical="center"/>
    </xf>
    <xf numFmtId="0" fontId="13" fillId="6" borderId="8" xfId="0" applyFont="1" applyFill="1" applyBorder="1" applyAlignment="1" applyProtection="1">
      <alignment horizontal="center" vertical="center" wrapText="1"/>
    </xf>
    <xf numFmtId="0" fontId="13" fillId="6" borderId="8" xfId="0" applyFont="1" applyFill="1" applyBorder="1" applyProtection="1"/>
    <xf numFmtId="0" fontId="13" fillId="6" borderId="25" xfId="0" applyFont="1" applyFill="1" applyBorder="1" applyProtection="1"/>
    <xf numFmtId="0" fontId="13" fillId="6" borderId="51" xfId="0" applyFont="1" applyFill="1" applyBorder="1" applyAlignment="1" applyProtection="1">
      <alignment horizontal="center" vertical="center" wrapText="1"/>
    </xf>
    <xf numFmtId="0" fontId="13" fillId="2" borderId="51" xfId="0" applyFont="1" applyFill="1" applyBorder="1" applyProtection="1"/>
    <xf numFmtId="0" fontId="28" fillId="2" borderId="90" xfId="0" quotePrefix="1" applyFont="1" applyFill="1" applyBorder="1" applyAlignment="1" applyProtection="1">
      <alignment horizontal="center" vertical="center"/>
    </xf>
    <xf numFmtId="0" fontId="7" fillId="3" borderId="118" xfId="6" applyNumberFormat="1" applyFont="1" applyFill="1" applyBorder="1" applyAlignment="1" applyProtection="1">
      <alignment horizontal="center"/>
      <protection locked="0"/>
    </xf>
    <xf numFmtId="0" fontId="7" fillId="3" borderId="119" xfId="6" applyNumberFormat="1" applyFont="1" applyFill="1" applyBorder="1" applyAlignment="1" applyProtection="1">
      <alignment horizontal="center"/>
      <protection locked="0"/>
    </xf>
    <xf numFmtId="0" fontId="7" fillId="3" borderId="119" xfId="6" applyNumberFormat="1" applyFont="1" applyFill="1" applyBorder="1" applyProtection="1">
      <protection locked="0"/>
    </xf>
    <xf numFmtId="0" fontId="7" fillId="6" borderId="124" xfId="6" applyNumberFormat="1" applyFont="1" applyFill="1" applyBorder="1" applyProtection="1"/>
    <xf numFmtId="0" fontId="7" fillId="6" borderId="120" xfId="6" applyNumberFormat="1" applyFont="1" applyFill="1" applyBorder="1" applyProtection="1"/>
    <xf numFmtId="0" fontId="7" fillId="3" borderId="118" xfId="6" applyNumberFormat="1" applyFont="1" applyFill="1" applyBorder="1" applyProtection="1">
      <protection locked="0"/>
    </xf>
    <xf numFmtId="0" fontId="7" fillId="3" borderId="121" xfId="6" applyNumberFormat="1" applyFont="1" applyFill="1" applyBorder="1" applyProtection="1">
      <protection locked="0"/>
    </xf>
    <xf numFmtId="0" fontId="7" fillId="3" borderId="122" xfId="6" applyNumberFormat="1" applyFont="1" applyFill="1" applyBorder="1" applyProtection="1">
      <protection locked="0"/>
    </xf>
    <xf numFmtId="0" fontId="7" fillId="6" borderId="122" xfId="6" applyNumberFormat="1" applyFont="1" applyFill="1" applyBorder="1" applyProtection="1"/>
    <xf numFmtId="0" fontId="7" fillId="6" borderId="123" xfId="6" applyNumberFormat="1" applyFont="1" applyFill="1" applyBorder="1" applyProtection="1"/>
    <xf numFmtId="0" fontId="28" fillId="6" borderId="162" xfId="0" quotePrefix="1" applyFont="1" applyFill="1" applyBorder="1" applyAlignment="1" applyProtection="1">
      <alignment horizontal="center" vertical="center"/>
    </xf>
    <xf numFmtId="0" fontId="13" fillId="6" borderId="49" xfId="0" applyFont="1" applyFill="1" applyBorder="1" applyProtection="1"/>
    <xf numFmtId="0" fontId="13" fillId="6" borderId="25" xfId="0" applyFont="1" applyFill="1" applyBorder="1" applyAlignment="1" applyProtection="1">
      <alignment horizontal="center" vertical="center" wrapText="1"/>
    </xf>
    <xf numFmtId="0" fontId="13" fillId="6" borderId="40" xfId="0" applyFont="1" applyFill="1" applyBorder="1" applyProtection="1"/>
    <xf numFmtId="0" fontId="13" fillId="6" borderId="40" xfId="0" applyFont="1" applyFill="1" applyBorder="1" applyAlignment="1" applyProtection="1">
      <alignment horizontal="center" vertical="center" wrapText="1"/>
    </xf>
    <xf numFmtId="0" fontId="13" fillId="6" borderId="16" xfId="0" applyFont="1" applyFill="1" applyBorder="1" applyProtection="1"/>
    <xf numFmtId="0" fontId="13" fillId="2" borderId="41" xfId="0" applyFont="1" applyFill="1" applyBorder="1" applyProtection="1"/>
    <xf numFmtId="164" fontId="13" fillId="2" borderId="43" xfId="0" applyNumberFormat="1" applyFont="1" applyFill="1" applyBorder="1" applyAlignment="1" applyProtection="1">
      <alignment horizontal="center" vertical="center" wrapText="1"/>
    </xf>
    <xf numFmtId="0" fontId="19" fillId="0" borderId="39" xfId="0" applyFont="1" applyBorder="1" applyAlignment="1" applyProtection="1">
      <alignment horizontal="right" vertical="center" wrapText="1"/>
    </xf>
    <xf numFmtId="0" fontId="13" fillId="6" borderId="26" xfId="0" applyFont="1" applyFill="1" applyBorder="1" applyAlignment="1" applyProtection="1">
      <alignment vertical="top"/>
    </xf>
    <xf numFmtId="0" fontId="13" fillId="2" borderId="41" xfId="0" applyFont="1" applyFill="1" applyBorder="1" applyAlignment="1" applyProtection="1">
      <alignment vertical="center"/>
    </xf>
    <xf numFmtId="0" fontId="13" fillId="0" borderId="26" xfId="0" applyFont="1" applyBorder="1" applyAlignment="1" applyProtection="1">
      <alignment horizontal="center" vertical="center"/>
    </xf>
    <xf numFmtId="164" fontId="13" fillId="2" borderId="41" xfId="0" applyNumberFormat="1" applyFont="1" applyFill="1" applyBorder="1" applyAlignment="1" applyProtection="1">
      <alignment horizontal="center" vertical="center" wrapText="1"/>
    </xf>
    <xf numFmtId="0" fontId="28" fillId="2" borderId="43" xfId="0" quotePrefix="1" applyFont="1" applyFill="1" applyBorder="1" applyAlignment="1" applyProtection="1">
      <alignment horizontal="center" vertical="center"/>
    </xf>
    <xf numFmtId="0" fontId="13" fillId="2" borderId="0" xfId="0" applyFont="1" applyFill="1" applyAlignment="1" applyProtection="1">
      <alignment vertical="center"/>
    </xf>
    <xf numFmtId="0" fontId="13" fillId="6" borderId="0" xfId="0" applyFont="1" applyFill="1" applyBorder="1" applyAlignment="1" applyProtection="1">
      <alignment vertical="top"/>
    </xf>
    <xf numFmtId="165" fontId="13" fillId="2" borderId="23" xfId="0" applyNumberFormat="1" applyFont="1" applyFill="1" applyBorder="1" applyProtection="1"/>
    <xf numFmtId="167" fontId="13" fillId="2" borderId="23" xfId="0" applyNumberFormat="1" applyFont="1" applyFill="1" applyBorder="1" applyProtection="1"/>
    <xf numFmtId="0" fontId="13" fillId="2" borderId="23" xfId="0" applyFont="1" applyFill="1" applyBorder="1" applyProtection="1"/>
    <xf numFmtId="0" fontId="13" fillId="2" borderId="53" xfId="0" applyFont="1" applyFill="1" applyBorder="1" applyProtection="1"/>
    <xf numFmtId="0" fontId="13" fillId="2" borderId="46" xfId="0" quotePrefix="1" applyFont="1" applyFill="1" applyBorder="1" applyAlignment="1" applyProtection="1">
      <alignment horizontal="right"/>
    </xf>
    <xf numFmtId="0" fontId="13" fillId="2" borderId="46" xfId="0" quotePrefix="1" applyFont="1" applyFill="1" applyBorder="1" applyAlignment="1" applyProtection="1">
      <alignment horizontal="left"/>
    </xf>
    <xf numFmtId="0" fontId="13" fillId="2" borderId="47" xfId="0" quotePrefix="1" applyFont="1" applyFill="1" applyBorder="1" applyAlignment="1" applyProtection="1">
      <alignment horizontal="left"/>
    </xf>
    <xf numFmtId="165" fontId="13" fillId="2" borderId="163" xfId="0" quotePrefix="1" applyNumberFormat="1" applyFont="1" applyFill="1" applyBorder="1" applyAlignment="1" applyProtection="1">
      <alignment horizontal="right"/>
    </xf>
    <xf numFmtId="165" fontId="13" fillId="2" borderId="29" xfId="4" quotePrefix="1" applyNumberFormat="1" applyFont="1" applyFill="1" applyBorder="1" applyAlignment="1" applyProtection="1">
      <alignment vertical="center"/>
    </xf>
    <xf numFmtId="0" fontId="28" fillId="0" borderId="68" xfId="23" applyFont="1" applyBorder="1" applyProtection="1"/>
    <xf numFmtId="0" fontId="28" fillId="0" borderId="68" xfId="23" applyFont="1" applyBorder="1" applyAlignment="1" applyProtection="1">
      <alignment horizontal="center"/>
    </xf>
    <xf numFmtId="0" fontId="28" fillId="0" borderId="165" xfId="23" applyFont="1" applyBorder="1" applyProtection="1"/>
    <xf numFmtId="0" fontId="102" fillId="0" borderId="166" xfId="23" applyFont="1" applyBorder="1" applyAlignment="1" applyProtection="1">
      <alignment horizontal="center"/>
    </xf>
    <xf numFmtId="0" fontId="28" fillId="0" borderId="166" xfId="23" applyFont="1" applyBorder="1" applyProtection="1"/>
    <xf numFmtId="0" fontId="28" fillId="0" borderId="166" xfId="23" applyFont="1" applyBorder="1" applyAlignment="1" applyProtection="1">
      <alignment horizontal="center"/>
    </xf>
    <xf numFmtId="10" fontId="28" fillId="0" borderId="166" xfId="23" applyNumberFormat="1" applyFont="1" applyBorder="1" applyProtection="1"/>
    <xf numFmtId="0" fontId="28" fillId="0" borderId="167" xfId="23" applyFont="1" applyBorder="1" applyProtection="1"/>
    <xf numFmtId="0" fontId="28" fillId="5" borderId="68" xfId="23" applyFont="1" applyFill="1" applyBorder="1" applyAlignment="1" applyProtection="1">
      <alignment horizontal="center"/>
      <protection locked="0"/>
    </xf>
    <xf numFmtId="0" fontId="28" fillId="8" borderId="169" xfId="23" quotePrefix="1" applyFont="1" applyFill="1" applyBorder="1" applyAlignment="1" applyProtection="1">
      <alignment horizontal="center"/>
    </xf>
    <xf numFmtId="0" fontId="28" fillId="0" borderId="166" xfId="23" applyFont="1" applyFill="1" applyBorder="1" applyAlignment="1" applyProtection="1">
      <alignment horizontal="center"/>
    </xf>
    <xf numFmtId="0" fontId="28" fillId="16" borderId="68" xfId="23" applyFont="1" applyFill="1" applyBorder="1" applyProtection="1"/>
    <xf numFmtId="0" fontId="28" fillId="16" borderId="88" xfId="23" applyFont="1" applyFill="1" applyBorder="1" applyProtection="1"/>
    <xf numFmtId="0" fontId="28" fillId="0" borderId="68" xfId="23" applyNumberFormat="1" applyFont="1" applyFill="1" applyBorder="1" applyAlignment="1" applyProtection="1">
      <alignment horizontal="center"/>
    </xf>
    <xf numFmtId="10" fontId="28" fillId="0" borderId="68" xfId="23" applyNumberFormat="1" applyFont="1" applyFill="1" applyBorder="1" applyAlignment="1" applyProtection="1">
      <alignment horizontal="center"/>
    </xf>
    <xf numFmtId="10" fontId="105" fillId="16" borderId="68" xfId="23" applyNumberFormat="1" applyFont="1" applyFill="1" applyBorder="1" applyAlignment="1" applyProtection="1">
      <alignment horizontal="center"/>
    </xf>
    <xf numFmtId="0" fontId="28" fillId="3" borderId="166" xfId="23" applyFont="1" applyFill="1" applyBorder="1" applyAlignment="1" applyProtection="1">
      <alignment horizontal="center"/>
      <protection locked="0"/>
    </xf>
    <xf numFmtId="0" fontId="28" fillId="3" borderId="165" xfId="23" applyFont="1" applyFill="1" applyBorder="1" applyAlignment="1" applyProtection="1">
      <alignment horizontal="left"/>
      <protection locked="0"/>
    </xf>
    <xf numFmtId="0" fontId="28" fillId="3" borderId="89" xfId="23" applyFont="1" applyFill="1" applyBorder="1" applyAlignment="1" applyProtection="1">
      <alignment horizontal="left"/>
      <protection locked="0"/>
    </xf>
    <xf numFmtId="0" fontId="28" fillId="3" borderId="178" xfId="23" applyFont="1" applyFill="1" applyBorder="1" applyAlignment="1" applyProtection="1">
      <alignment horizontal="center"/>
      <protection locked="0"/>
    </xf>
    <xf numFmtId="0" fontId="28" fillId="3" borderId="174" xfId="23" applyFont="1" applyFill="1" applyBorder="1" applyAlignment="1" applyProtection="1">
      <alignment horizontal="center"/>
      <protection locked="0"/>
    </xf>
    <xf numFmtId="0" fontId="28" fillId="3" borderId="88" xfId="23" applyFont="1" applyFill="1" applyBorder="1" applyProtection="1">
      <protection locked="0"/>
    </xf>
    <xf numFmtId="0" fontId="28" fillId="3" borderId="167" xfId="23" applyFont="1" applyFill="1" applyBorder="1" applyProtection="1">
      <protection locked="0"/>
    </xf>
    <xf numFmtId="0" fontId="28" fillId="3" borderId="172" xfId="23" applyFont="1" applyFill="1" applyBorder="1" applyProtection="1">
      <protection locked="0"/>
    </xf>
    <xf numFmtId="164" fontId="28" fillId="6" borderId="68" xfId="23" applyNumberFormat="1" applyFont="1" applyFill="1" applyBorder="1" applyAlignment="1" applyProtection="1">
      <alignment horizontal="right"/>
    </xf>
    <xf numFmtId="1" fontId="102" fillId="0" borderId="166" xfId="23" quotePrefix="1" applyNumberFormat="1" applyFont="1" applyBorder="1" applyProtection="1"/>
    <xf numFmtId="0" fontId="102" fillId="2" borderId="181" xfId="23" quotePrefix="1" applyFont="1" applyFill="1" applyBorder="1" applyAlignment="1" applyProtection="1">
      <alignment horizontal="center"/>
    </xf>
    <xf numFmtId="164" fontId="28" fillId="0" borderId="68" xfId="23" applyNumberFormat="1" applyFont="1" applyFill="1" applyBorder="1" applyAlignment="1" applyProtection="1">
      <alignment horizontal="center"/>
    </xf>
    <xf numFmtId="0" fontId="28" fillId="3" borderId="184" xfId="23" applyFont="1" applyFill="1" applyBorder="1" applyAlignment="1" applyProtection="1">
      <alignment horizontal="center"/>
      <protection locked="0"/>
    </xf>
    <xf numFmtId="169" fontId="13" fillId="6" borderId="166" xfId="0" applyNumberFormat="1" applyFont="1" applyFill="1" applyBorder="1" applyAlignment="1" applyProtection="1">
      <alignment horizontal="right" vertical="center"/>
    </xf>
    <xf numFmtId="0" fontId="13" fillId="6" borderId="166" xfId="0" quotePrefix="1" applyFont="1" applyFill="1" applyBorder="1" applyAlignment="1" applyProtection="1">
      <alignment horizontal="right"/>
    </xf>
    <xf numFmtId="0" fontId="13" fillId="3" borderId="166" xfId="0" quotePrefix="1" applyFont="1" applyFill="1" applyBorder="1" applyAlignment="1" applyProtection="1">
      <alignment horizontal="right"/>
      <protection locked="0"/>
    </xf>
    <xf numFmtId="164" fontId="13" fillId="6" borderId="72" xfId="0" applyNumberFormat="1" applyFont="1" applyFill="1" applyBorder="1" applyAlignment="1" applyProtection="1">
      <alignment horizontal="right" vertical="center"/>
    </xf>
    <xf numFmtId="0" fontId="28" fillId="5" borderId="70" xfId="23" applyFont="1" applyFill="1" applyBorder="1" applyAlignment="1" applyProtection="1">
      <alignment horizontal="center"/>
      <protection locked="0"/>
    </xf>
    <xf numFmtId="164" fontId="13" fillId="6" borderId="166" xfId="0" applyNumberFormat="1" applyFont="1" applyFill="1" applyBorder="1" applyAlignment="1" applyProtection="1">
      <alignment horizontal="right" vertical="center"/>
    </xf>
    <xf numFmtId="164" fontId="13" fillId="6" borderId="166" xfId="0" quotePrefix="1" applyNumberFormat="1" applyFont="1" applyFill="1" applyBorder="1" applyAlignment="1" applyProtection="1">
      <alignment horizontal="right"/>
    </xf>
    <xf numFmtId="164" fontId="7" fillId="6" borderId="166" xfId="0" quotePrefix="1" applyNumberFormat="1" applyFont="1" applyFill="1" applyBorder="1" applyAlignment="1" applyProtection="1">
      <alignment horizontal="right"/>
    </xf>
    <xf numFmtId="0" fontId="28" fillId="3" borderId="87" xfId="23" applyFont="1" applyFill="1" applyBorder="1" applyAlignment="1" applyProtection="1">
      <alignment horizontal="center"/>
      <protection locked="0"/>
    </xf>
    <xf numFmtId="167" fontId="13" fillId="3" borderId="166" xfId="0" applyNumberFormat="1" applyFont="1" applyFill="1" applyBorder="1" applyAlignment="1" applyProtection="1">
      <alignment horizontal="right" vertical="center"/>
      <protection locked="0"/>
    </xf>
    <xf numFmtId="0" fontId="13" fillId="2" borderId="22" xfId="0" quotePrefix="1" applyFont="1" applyFill="1" applyBorder="1" applyAlignment="1" applyProtection="1">
      <alignment horizontal="left"/>
    </xf>
    <xf numFmtId="0" fontId="13" fillId="2" borderId="24" xfId="0" quotePrefix="1" applyFont="1" applyFill="1" applyBorder="1" applyAlignment="1" applyProtection="1">
      <alignment horizontal="left"/>
    </xf>
    <xf numFmtId="0" fontId="7" fillId="0" borderId="0" xfId="0" applyFont="1" applyAlignment="1">
      <alignment horizontal="center"/>
    </xf>
    <xf numFmtId="0" fontId="7" fillId="0" borderId="0" xfId="0" applyFont="1"/>
    <xf numFmtId="0" fontId="5" fillId="0" borderId="66" xfId="6" applyFont="1" applyBorder="1" applyAlignment="1" applyProtection="1">
      <alignment horizontal="center" vertical="center"/>
      <protection locked="0"/>
    </xf>
    <xf numFmtId="0" fontId="20" fillId="0" borderId="167" xfId="6" applyFont="1" applyBorder="1" applyAlignment="1" applyProtection="1">
      <alignment horizontal="left" wrapText="1"/>
      <protection locked="0"/>
    </xf>
    <xf numFmtId="0" fontId="5" fillId="0" borderId="0" xfId="6" applyFont="1" applyAlignment="1" applyProtection="1">
      <alignment horizontal="left"/>
    </xf>
    <xf numFmtId="0" fontId="5" fillId="0" borderId="0" xfId="6" applyFont="1" applyProtection="1"/>
    <xf numFmtId="0" fontId="0" fillId="0" borderId="0" xfId="0" applyProtection="1"/>
    <xf numFmtId="0" fontId="45" fillId="0" borderId="85" xfId="23" applyFont="1" applyBorder="1" applyAlignment="1" applyProtection="1">
      <alignment horizontal="right"/>
    </xf>
    <xf numFmtId="0" fontId="28" fillId="0" borderId="0" xfId="23" applyFont="1" applyProtection="1"/>
    <xf numFmtId="0" fontId="28" fillId="16" borderId="18" xfId="23" applyFont="1" applyFill="1" applyBorder="1" applyAlignment="1" applyProtection="1"/>
    <xf numFmtId="0" fontId="2" fillId="0" borderId="0" xfId="23" applyProtection="1"/>
    <xf numFmtId="0" fontId="45" fillId="0" borderId="85" xfId="23" applyFont="1" applyBorder="1" applyAlignment="1" applyProtection="1">
      <alignment horizontal="center" wrapText="1"/>
    </xf>
    <xf numFmtId="0" fontId="45" fillId="0" borderId="86" xfId="23" applyFont="1" applyBorder="1" applyAlignment="1" applyProtection="1">
      <alignment horizontal="center" wrapText="1"/>
    </xf>
    <xf numFmtId="0" fontId="103" fillId="0" borderId="86" xfId="23" applyFont="1" applyBorder="1" applyAlignment="1" applyProtection="1">
      <alignment horizontal="center" wrapText="1"/>
    </xf>
    <xf numFmtId="0" fontId="45" fillId="0" borderId="87" xfId="23" applyFont="1" applyBorder="1" applyAlignment="1" applyProtection="1">
      <alignment horizontal="center" wrapText="1"/>
    </xf>
    <xf numFmtId="0" fontId="107" fillId="2" borderId="90" xfId="23" applyFont="1" applyFill="1" applyBorder="1" applyAlignment="1" applyProtection="1">
      <alignment horizontal="center" wrapText="1"/>
    </xf>
    <xf numFmtId="0" fontId="107" fillId="2" borderId="91" xfId="23" applyFont="1" applyFill="1" applyBorder="1" applyProtection="1"/>
    <xf numFmtId="0" fontId="107" fillId="2" borderId="181" xfId="23" applyFont="1" applyFill="1" applyBorder="1" applyProtection="1"/>
    <xf numFmtId="0" fontId="28" fillId="6" borderId="166" xfId="23" applyFont="1" applyFill="1" applyBorder="1" applyAlignment="1" applyProtection="1">
      <alignment horizontal="right"/>
    </xf>
    <xf numFmtId="0" fontId="107" fillId="2" borderId="181" xfId="23" quotePrefix="1" applyFont="1" applyFill="1" applyBorder="1" applyProtection="1"/>
    <xf numFmtId="1" fontId="107" fillId="0" borderId="0" xfId="23" quotePrefix="1" applyNumberFormat="1" applyFont="1" applyAlignment="1" applyProtection="1">
      <alignment horizontal="right"/>
    </xf>
    <xf numFmtId="0" fontId="2" fillId="0" borderId="68" xfId="23" applyBorder="1" applyProtection="1"/>
    <xf numFmtId="0" fontId="2" fillId="0" borderId="88" xfId="23" applyBorder="1" applyProtection="1"/>
    <xf numFmtId="0" fontId="106" fillId="0" borderId="169" xfId="23" applyFont="1" applyBorder="1" applyProtection="1"/>
    <xf numFmtId="0" fontId="2" fillId="0" borderId="170" xfId="23" applyBorder="1" applyProtection="1"/>
    <xf numFmtId="0" fontId="2" fillId="2" borderId="182" xfId="23" applyFill="1" applyBorder="1" applyProtection="1"/>
    <xf numFmtId="0" fontId="17" fillId="3" borderId="71" xfId="6" applyFont="1" applyFill="1" applyBorder="1" applyAlignment="1" applyProtection="1">
      <alignment horizontal="left" vertical="center"/>
      <protection locked="0"/>
    </xf>
    <xf numFmtId="0" fontId="17" fillId="3" borderId="165" xfId="6" applyFont="1" applyFill="1" applyBorder="1" applyAlignment="1" applyProtection="1">
      <alignment horizontal="left" vertical="center"/>
      <protection locked="0"/>
    </xf>
    <xf numFmtId="0" fontId="17" fillId="3" borderId="183" xfId="6" applyFont="1" applyFill="1" applyBorder="1" applyAlignment="1" applyProtection="1">
      <alignment horizontal="left" vertical="center"/>
      <protection locked="0"/>
    </xf>
    <xf numFmtId="0" fontId="17" fillId="3" borderId="165" xfId="0" applyFont="1" applyFill="1" applyBorder="1" applyAlignment="1" applyProtection="1">
      <alignment horizontal="left" vertical="center"/>
      <protection locked="0"/>
    </xf>
    <xf numFmtId="0" fontId="7" fillId="3" borderId="72" xfId="6" applyFont="1" applyFill="1" applyBorder="1" applyAlignment="1" applyProtection="1">
      <alignment horizontal="center" vertical="center"/>
      <protection locked="0"/>
    </xf>
    <xf numFmtId="0" fontId="7" fillId="3" borderId="166" xfId="6" applyFont="1" applyFill="1" applyBorder="1" applyAlignment="1" applyProtection="1">
      <alignment horizontal="center" vertical="center"/>
      <protection locked="0"/>
    </xf>
    <xf numFmtId="0" fontId="7" fillId="3" borderId="68" xfId="6" applyFont="1" applyFill="1" applyBorder="1" applyAlignment="1" applyProtection="1">
      <alignment horizontal="center" vertical="center"/>
      <protection locked="0"/>
    </xf>
    <xf numFmtId="0" fontId="7" fillId="3" borderId="22" xfId="0" applyFont="1" applyFill="1" applyBorder="1" applyAlignment="1" applyProtection="1">
      <alignment horizontal="right" vertical="center" wrapText="1"/>
      <protection locked="0"/>
    </xf>
    <xf numFmtId="0" fontId="7" fillId="3" borderId="24" xfId="0" applyFont="1" applyFill="1" applyBorder="1" applyAlignment="1" applyProtection="1">
      <alignment horizontal="right" vertical="center" wrapText="1"/>
      <protection locked="0"/>
    </xf>
    <xf numFmtId="0" fontId="7" fillId="3" borderId="19" xfId="0" applyFont="1" applyFill="1" applyBorder="1" applyAlignment="1" applyProtection="1">
      <alignment horizontal="right" vertical="center" wrapText="1"/>
      <protection locked="0"/>
    </xf>
    <xf numFmtId="11" fontId="13" fillId="6" borderId="8" xfId="0" applyNumberFormat="1" applyFont="1" applyFill="1" applyBorder="1" applyAlignment="1" applyProtection="1">
      <alignment horizontal="center" vertical="center" wrapText="1"/>
    </xf>
    <xf numFmtId="11" fontId="7" fillId="6" borderId="8" xfId="0" applyNumberFormat="1" applyFont="1" applyFill="1" applyBorder="1" applyAlignment="1" applyProtection="1">
      <alignment horizontal="center" vertical="center" wrapText="1"/>
    </xf>
    <xf numFmtId="11" fontId="13" fillId="0" borderId="0" xfId="0" applyNumberFormat="1" applyFont="1" applyProtection="1"/>
    <xf numFmtId="0" fontId="28" fillId="0" borderId="0" xfId="14" applyFont="1" applyAlignment="1" applyProtection="1">
      <alignment horizontal="center"/>
    </xf>
    <xf numFmtId="0" fontId="28" fillId="3" borderId="178" xfId="14" applyFont="1" applyFill="1" applyBorder="1" applyAlignment="1" applyProtection="1">
      <alignment horizontal="center"/>
      <protection locked="0"/>
    </xf>
    <xf numFmtId="0" fontId="28" fillId="3" borderId="174" xfId="14" applyFont="1" applyFill="1" applyBorder="1" applyAlignment="1" applyProtection="1">
      <alignment horizontal="center"/>
      <protection locked="0"/>
    </xf>
    <xf numFmtId="0" fontId="0" fillId="0" borderId="22" xfId="0" applyBorder="1"/>
    <xf numFmtId="0" fontId="0" fillId="0" borderId="24" xfId="0" applyBorder="1"/>
    <xf numFmtId="0" fontId="7" fillId="0" borderId="19" xfId="0" applyFont="1" applyBorder="1" applyAlignment="1">
      <alignment horizontal="right" vertical="center"/>
    </xf>
    <xf numFmtId="0" fontId="7" fillId="0" borderId="22" xfId="0" applyFont="1" applyBorder="1" applyAlignment="1">
      <alignment horizontal="right" vertical="center"/>
    </xf>
    <xf numFmtId="0" fontId="7" fillId="0" borderId="24" xfId="0" applyFont="1" applyBorder="1" applyAlignment="1">
      <alignment horizontal="right" vertical="center"/>
    </xf>
    <xf numFmtId="0" fontId="20" fillId="0" borderId="167" xfId="0" applyFont="1" applyBorder="1" applyAlignment="1" applyProtection="1">
      <alignment horizontal="left" wrapText="1"/>
      <protection locked="0"/>
    </xf>
    <xf numFmtId="14" fontId="5" fillId="0" borderId="0" xfId="0" applyNumberFormat="1" applyFont="1" applyAlignment="1">
      <alignment horizontal="center" vertical="center"/>
    </xf>
    <xf numFmtId="14" fontId="5" fillId="0" borderId="66" xfId="6" applyNumberFormat="1" applyFont="1" applyBorder="1" applyAlignment="1" applyProtection="1">
      <alignment horizontal="center" vertical="center"/>
      <protection locked="0"/>
    </xf>
    <xf numFmtId="0" fontId="7" fillId="0" borderId="66" xfId="6" applyFont="1" applyBorder="1" applyAlignment="1" applyProtection="1">
      <alignment horizontal="center" vertical="center"/>
      <protection locked="0"/>
    </xf>
    <xf numFmtId="0" fontId="7" fillId="0" borderId="116" xfId="6" applyFont="1" applyBorder="1" applyAlignment="1" applyProtection="1">
      <alignment horizontal="center" vertical="center"/>
      <protection locked="0"/>
    </xf>
    <xf numFmtId="0" fontId="13" fillId="2" borderId="51" xfId="0" applyFont="1" applyFill="1" applyBorder="1" applyAlignment="1" applyProtection="1">
      <alignment vertical="center"/>
    </xf>
    <xf numFmtId="0" fontId="28" fillId="0" borderId="178" xfId="23" applyFont="1" applyFill="1" applyBorder="1" applyAlignment="1" applyProtection="1">
      <alignment horizontal="center"/>
      <protection locked="0"/>
    </xf>
    <xf numFmtId="14" fontId="7" fillId="0" borderId="66" xfId="6" applyNumberFormat="1" applyFont="1" applyBorder="1" applyAlignment="1" applyProtection="1">
      <alignment horizontal="center" vertical="center"/>
      <protection locked="0"/>
    </xf>
    <xf numFmtId="0" fontId="112" fillId="0" borderId="169" xfId="23" applyFont="1" applyBorder="1" applyProtection="1"/>
    <xf numFmtId="0" fontId="33" fillId="0" borderId="0" xfId="1" applyFont="1" applyAlignment="1" applyProtection="1">
      <alignment horizontal="center" wrapText="1"/>
    </xf>
    <xf numFmtId="0" fontId="43" fillId="0" borderId="79" xfId="6" applyFont="1" applyBorder="1" applyAlignment="1">
      <alignment horizontal="center"/>
    </xf>
    <xf numFmtId="0" fontId="43" fillId="0" borderId="80" xfId="6" applyFont="1" applyBorder="1" applyAlignment="1">
      <alignment horizontal="center"/>
    </xf>
    <xf numFmtId="0" fontId="43" fillId="0" borderId="81" xfId="6" applyFont="1" applyBorder="1" applyAlignment="1">
      <alignment horizontal="center"/>
    </xf>
    <xf numFmtId="0" fontId="43" fillId="0" borderId="77" xfId="6" applyFont="1" applyBorder="1" applyAlignment="1">
      <alignment horizontal="center"/>
    </xf>
    <xf numFmtId="0" fontId="43" fillId="0" borderId="67" xfId="6" applyFont="1" applyBorder="1" applyAlignment="1">
      <alignment horizontal="center"/>
    </xf>
    <xf numFmtId="0" fontId="43" fillId="0" borderId="78" xfId="6" applyFont="1" applyBorder="1" applyAlignment="1">
      <alignment horizontal="center"/>
    </xf>
    <xf numFmtId="0" fontId="5" fillId="5" borderId="49" xfId="6" applyFont="1" applyFill="1" applyBorder="1" applyAlignment="1" applyProtection="1">
      <alignment horizontal="center"/>
      <protection locked="0"/>
    </xf>
    <xf numFmtId="0" fontId="5" fillId="5" borderId="16" xfId="6" applyFont="1" applyFill="1" applyBorder="1" applyAlignment="1" applyProtection="1">
      <alignment horizontal="center"/>
      <protection locked="0"/>
    </xf>
    <xf numFmtId="0" fontId="9" fillId="5" borderId="35" xfId="6" applyFont="1" applyFill="1" applyBorder="1" applyAlignment="1" applyProtection="1">
      <alignment horizontal="left" wrapText="1"/>
      <protection locked="0"/>
    </xf>
    <xf numFmtId="0" fontId="9" fillId="5" borderId="17" xfId="6" applyFont="1" applyFill="1" applyBorder="1" applyAlignment="1" applyProtection="1">
      <alignment horizontal="left" wrapText="1"/>
      <protection locked="0"/>
    </xf>
    <xf numFmtId="0" fontId="9" fillId="5" borderId="46" xfId="6" applyFont="1" applyFill="1" applyBorder="1" applyAlignment="1" applyProtection="1">
      <alignment horizontal="left" wrapText="1"/>
      <protection locked="0"/>
    </xf>
    <xf numFmtId="0" fontId="9" fillId="5" borderId="35" xfId="6" applyFont="1" applyFill="1" applyBorder="1" applyAlignment="1" applyProtection="1">
      <alignment horizontal="left"/>
      <protection locked="0"/>
    </xf>
    <xf numFmtId="0" fontId="9" fillId="5" borderId="17" xfId="6" applyFont="1" applyFill="1" applyBorder="1" applyAlignment="1" applyProtection="1">
      <alignment horizontal="left"/>
      <protection locked="0"/>
    </xf>
    <xf numFmtId="0" fontId="9" fillId="5" borderId="46" xfId="6" applyFont="1" applyFill="1" applyBorder="1" applyAlignment="1" applyProtection="1">
      <alignment horizontal="left"/>
      <protection locked="0"/>
    </xf>
    <xf numFmtId="0" fontId="9" fillId="0" borderId="8" xfId="6" applyFont="1" applyBorder="1" applyAlignment="1">
      <alignment horizontal="center" vertical="center" textRotation="90" wrapText="1"/>
    </xf>
    <xf numFmtId="0" fontId="5" fillId="0" borderId="35" xfId="6" applyFont="1" applyBorder="1" applyAlignment="1">
      <alignment vertical="top" wrapText="1"/>
    </xf>
    <xf numFmtId="0" fontId="5" fillId="0" borderId="17" xfId="6" applyFont="1" applyBorder="1" applyAlignment="1">
      <alignment vertical="top" wrapText="1"/>
    </xf>
    <xf numFmtId="0" fontId="5" fillId="0" borderId="46" xfId="6" applyFont="1" applyBorder="1" applyAlignment="1">
      <alignment vertical="top" wrapText="1"/>
    </xf>
    <xf numFmtId="0" fontId="5" fillId="0" borderId="35" xfId="6" applyFont="1" applyFill="1" applyBorder="1" applyAlignment="1">
      <alignment vertical="top" wrapText="1"/>
    </xf>
    <xf numFmtId="0" fontId="5" fillId="0" borderId="17" xfId="6" applyFont="1" applyFill="1" applyBorder="1" applyAlignment="1">
      <alignment vertical="top" wrapText="1"/>
    </xf>
    <xf numFmtId="0" fontId="5" fillId="0" borderId="46" xfId="6" applyFont="1" applyFill="1" applyBorder="1" applyAlignment="1">
      <alignment vertical="top" wrapText="1"/>
    </xf>
    <xf numFmtId="0" fontId="5" fillId="0" borderId="0" xfId="6" applyFont="1" applyBorder="1" applyAlignment="1">
      <alignment wrapText="1"/>
    </xf>
    <xf numFmtId="0" fontId="9" fillId="0" borderId="46" xfId="6" applyFont="1" applyBorder="1" applyAlignment="1">
      <alignment horizontal="center"/>
    </xf>
    <xf numFmtId="0" fontId="9" fillId="0" borderId="8" xfId="6" applyFont="1" applyBorder="1" applyAlignment="1">
      <alignment horizontal="center"/>
    </xf>
    <xf numFmtId="0" fontId="46" fillId="0" borderId="0" xfId="14" applyFont="1" applyAlignment="1" applyProtection="1">
      <alignment horizontal="center" wrapText="1"/>
    </xf>
    <xf numFmtId="0" fontId="46" fillId="0" borderId="0" xfId="14" applyFont="1" applyAlignment="1" applyProtection="1">
      <alignment horizontal="center"/>
    </xf>
    <xf numFmtId="0" fontId="17" fillId="0" borderId="0" xfId="14" applyFont="1" applyAlignment="1" applyProtection="1">
      <alignment horizontal="center" wrapText="1"/>
    </xf>
    <xf numFmtId="0" fontId="17" fillId="0" borderId="0" xfId="14" applyFont="1" applyAlignment="1" applyProtection="1">
      <alignment horizontal="center"/>
    </xf>
    <xf numFmtId="0" fontId="28" fillId="0" borderId="0" xfId="14" applyFont="1" applyAlignment="1" applyProtection="1">
      <alignment horizontal="center"/>
    </xf>
    <xf numFmtId="0" fontId="109" fillId="0" borderId="0" xfId="0" applyFont="1" applyAlignment="1">
      <alignment horizontal="center"/>
    </xf>
    <xf numFmtId="0" fontId="9" fillId="2" borderId="71" xfId="6" applyFont="1" applyFill="1" applyBorder="1" applyAlignment="1" applyProtection="1">
      <alignment horizontal="center"/>
    </xf>
    <xf numFmtId="0" fontId="9" fillId="2" borderId="72" xfId="6" applyFont="1" applyFill="1" applyBorder="1" applyAlignment="1" applyProtection="1">
      <alignment horizontal="center"/>
    </xf>
    <xf numFmtId="0" fontId="102" fillId="0" borderId="168" xfId="23" applyFont="1" applyBorder="1" applyAlignment="1" applyProtection="1">
      <alignment horizontal="right"/>
    </xf>
    <xf numFmtId="0" fontId="102" fillId="0" borderId="169" xfId="23" applyFont="1" applyBorder="1" applyAlignment="1" applyProtection="1">
      <alignment horizontal="right"/>
    </xf>
    <xf numFmtId="0" fontId="105" fillId="16" borderId="177" xfId="23" applyFont="1" applyFill="1" applyBorder="1" applyAlignment="1" applyProtection="1">
      <alignment horizontal="center"/>
    </xf>
    <xf numFmtId="0" fontId="105" fillId="16" borderId="178" xfId="23" applyFont="1" applyFill="1" applyBorder="1" applyAlignment="1" applyProtection="1">
      <alignment horizontal="center"/>
    </xf>
    <xf numFmtId="0" fontId="105" fillId="16" borderId="70" xfId="23" applyFont="1" applyFill="1" applyBorder="1" applyAlignment="1" applyProtection="1">
      <alignment horizontal="center"/>
    </xf>
    <xf numFmtId="0" fontId="28" fillId="0" borderId="173" xfId="23" applyFont="1" applyBorder="1" applyAlignment="1" applyProtection="1">
      <alignment horizontal="right"/>
    </xf>
    <xf numFmtId="0" fontId="28" fillId="0" borderId="174" xfId="23" applyFont="1" applyBorder="1" applyAlignment="1" applyProtection="1">
      <alignment horizontal="right"/>
    </xf>
    <xf numFmtId="0" fontId="28" fillId="0" borderId="171" xfId="23" applyFont="1" applyBorder="1" applyAlignment="1" applyProtection="1">
      <alignment horizontal="right"/>
    </xf>
    <xf numFmtId="0" fontId="105" fillId="16" borderId="175" xfId="23" applyFont="1" applyFill="1" applyBorder="1" applyAlignment="1" applyProtection="1">
      <alignment horizontal="center" wrapText="1"/>
    </xf>
    <xf numFmtId="0" fontId="105" fillId="16" borderId="176" xfId="23" applyFont="1" applyFill="1" applyBorder="1" applyAlignment="1" applyProtection="1">
      <alignment horizontal="center" wrapText="1"/>
    </xf>
    <xf numFmtId="0" fontId="105" fillId="16" borderId="69" xfId="23" applyFont="1" applyFill="1" applyBorder="1" applyAlignment="1" applyProtection="1">
      <alignment horizontal="center" wrapText="1"/>
    </xf>
    <xf numFmtId="0" fontId="105" fillId="16" borderId="179" xfId="23" applyFont="1" applyFill="1" applyBorder="1" applyAlignment="1" applyProtection="1">
      <alignment horizontal="center" wrapText="1"/>
    </xf>
    <xf numFmtId="0" fontId="28" fillId="0" borderId="165" xfId="23" applyFont="1" applyBorder="1" applyAlignment="1" applyProtection="1">
      <alignment horizontal="right"/>
    </xf>
    <xf numFmtId="0" fontId="28" fillId="0" borderId="166" xfId="23" applyFont="1" applyBorder="1" applyAlignment="1" applyProtection="1">
      <alignment horizontal="right"/>
    </xf>
    <xf numFmtId="0" fontId="45" fillId="0" borderId="55" xfId="23" applyFont="1" applyBorder="1" applyAlignment="1" applyProtection="1">
      <alignment horizontal="right"/>
    </xf>
    <xf numFmtId="0" fontId="45" fillId="0" borderId="26" xfId="23" applyFont="1" applyBorder="1" applyAlignment="1" applyProtection="1">
      <alignment horizontal="right"/>
    </xf>
    <xf numFmtId="0" fontId="45" fillId="0" borderId="180" xfId="23" applyFont="1" applyBorder="1" applyAlignment="1" applyProtection="1">
      <alignment horizontal="right"/>
    </xf>
    <xf numFmtId="0" fontId="28" fillId="5" borderId="86" xfId="23" applyFont="1" applyFill="1" applyBorder="1" applyAlignment="1" applyProtection="1">
      <alignment horizontal="left"/>
      <protection locked="0"/>
    </xf>
    <xf numFmtId="0" fontId="28" fillId="5" borderId="87" xfId="23" applyFont="1" applyFill="1" applyBorder="1" applyAlignment="1" applyProtection="1">
      <alignment horizontal="left"/>
      <protection locked="0"/>
    </xf>
    <xf numFmtId="0" fontId="7" fillId="0" borderId="28" xfId="0" applyFont="1" applyBorder="1" applyAlignment="1" applyProtection="1">
      <alignment horizontal="left" wrapText="1"/>
    </xf>
    <xf numFmtId="0" fontId="13" fillId="0" borderId="0" xfId="0" applyFont="1" applyAlignment="1" applyProtection="1">
      <alignment horizontal="left" wrapText="1"/>
    </xf>
    <xf numFmtId="0" fontId="17" fillId="0" borderId="8" xfId="0" applyFont="1" applyBorder="1" applyAlignment="1" applyProtection="1">
      <alignment horizontal="left"/>
    </xf>
    <xf numFmtId="0" fontId="17" fillId="0" borderId="23" xfId="0" applyFont="1" applyBorder="1" applyAlignment="1" applyProtection="1">
      <alignment horizontal="left"/>
    </xf>
    <xf numFmtId="0" fontId="13" fillId="0" borderId="44" xfId="0" applyFont="1" applyBorder="1" applyAlignment="1" applyProtection="1">
      <alignment horizontal="left"/>
    </xf>
    <xf numFmtId="0" fontId="13" fillId="0" borderId="33" xfId="0" applyFont="1" applyBorder="1" applyAlignment="1" applyProtection="1">
      <alignment horizontal="left"/>
    </xf>
    <xf numFmtId="0" fontId="13" fillId="0" borderId="34" xfId="0" applyFont="1" applyBorder="1" applyAlignment="1" applyProtection="1">
      <alignment horizontal="left"/>
    </xf>
    <xf numFmtId="0" fontId="7" fillId="0" borderId="54" xfId="0" applyFont="1" applyBorder="1" applyAlignment="1" applyProtection="1">
      <alignment horizontal="left" vertical="center"/>
    </xf>
    <xf numFmtId="0" fontId="13" fillId="0" borderId="63" xfId="0" applyFont="1" applyBorder="1" applyAlignment="1" applyProtection="1">
      <alignment horizontal="left" vertical="center"/>
    </xf>
    <xf numFmtId="0" fontId="17" fillId="0" borderId="30" xfId="0" applyFont="1" applyBorder="1" applyAlignment="1" applyProtection="1">
      <alignment horizontal="left" vertical="center"/>
    </xf>
    <xf numFmtId="0" fontId="17" fillId="0" borderId="31" xfId="0" applyFont="1" applyBorder="1" applyAlignment="1" applyProtection="1">
      <alignment horizontal="left" vertical="center"/>
    </xf>
    <xf numFmtId="0" fontId="17" fillId="0" borderId="65" xfId="0" applyFont="1" applyBorder="1" applyAlignment="1" applyProtection="1">
      <alignment horizontal="left" vertical="center"/>
    </xf>
    <xf numFmtId="0" fontId="13" fillId="0" borderId="37" xfId="0" applyFont="1" applyBorder="1" applyAlignment="1" applyProtection="1">
      <alignment horizontal="left"/>
    </xf>
    <xf numFmtId="0" fontId="13" fillId="0" borderId="31" xfId="0" applyFont="1" applyBorder="1" applyAlignment="1" applyProtection="1">
      <alignment horizontal="left"/>
    </xf>
    <xf numFmtId="0" fontId="13" fillId="0" borderId="32" xfId="0" applyFont="1" applyBorder="1" applyAlignment="1" applyProtection="1">
      <alignment horizontal="left"/>
    </xf>
    <xf numFmtId="0" fontId="7" fillId="0" borderId="35" xfId="0" applyFont="1" applyBorder="1" applyAlignment="1" applyProtection="1">
      <alignment horizontal="left"/>
    </xf>
    <xf numFmtId="0" fontId="7" fillId="0" borderId="17" xfId="0" applyFont="1" applyBorder="1" applyAlignment="1" applyProtection="1">
      <alignment horizontal="left"/>
    </xf>
    <xf numFmtId="0" fontId="7" fillId="0" borderId="36" xfId="0" applyFont="1" applyBorder="1" applyAlignment="1" applyProtection="1">
      <alignment horizontal="left"/>
    </xf>
    <xf numFmtId="0" fontId="13" fillId="0" borderId="42"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3" fillId="0" borderId="53" xfId="0" applyFont="1" applyBorder="1" applyAlignment="1" applyProtection="1">
      <alignment horizontal="center" vertical="center" wrapText="1"/>
    </xf>
    <xf numFmtId="0" fontId="7" fillId="0" borderId="40" xfId="0" applyFont="1" applyBorder="1" applyAlignment="1" applyProtection="1">
      <alignment horizontal="center" vertical="center"/>
    </xf>
    <xf numFmtId="0" fontId="13" fillId="0" borderId="41" xfId="0" applyFont="1" applyBorder="1" applyAlignment="1" applyProtection="1">
      <alignment horizontal="center" vertical="center"/>
    </xf>
    <xf numFmtId="0" fontId="13" fillId="0" borderId="17" xfId="0" applyFont="1" applyBorder="1" applyAlignment="1" applyProtection="1">
      <alignment horizontal="left" vertical="center"/>
    </xf>
    <xf numFmtId="0" fontId="13" fillId="0" borderId="36" xfId="0" applyFont="1" applyBorder="1" applyAlignment="1" applyProtection="1">
      <alignment horizontal="left" vertical="center"/>
    </xf>
    <xf numFmtId="0" fontId="13" fillId="3" borderId="8" xfId="0" applyFont="1" applyFill="1" applyBorder="1" applyAlignment="1" applyProtection="1">
      <alignment horizontal="center" vertical="center" wrapText="1"/>
      <protection locked="0"/>
    </xf>
    <xf numFmtId="0" fontId="13" fillId="0" borderId="157" xfId="0" applyFont="1" applyBorder="1" applyAlignment="1" applyProtection="1">
      <alignment horizontal="center" vertical="center" wrapText="1"/>
    </xf>
    <xf numFmtId="0" fontId="13" fillId="0" borderId="158" xfId="0" applyFont="1" applyBorder="1" applyAlignment="1" applyProtection="1">
      <alignment horizontal="center" vertical="center" wrapText="1"/>
    </xf>
    <xf numFmtId="0" fontId="21" fillId="4" borderId="24" xfId="0" applyFont="1" applyFill="1" applyBorder="1" applyAlignment="1" applyProtection="1">
      <alignment horizontal="right" vertical="center"/>
    </xf>
    <xf numFmtId="0" fontId="21" fillId="4" borderId="25" xfId="0" applyFont="1" applyFill="1" applyBorder="1" applyAlignment="1" applyProtection="1">
      <alignment horizontal="right" vertical="center"/>
    </xf>
    <xf numFmtId="0" fontId="17" fillId="0" borderId="0" xfId="0" applyFont="1" applyAlignment="1" applyProtection="1">
      <alignment horizontal="left"/>
    </xf>
    <xf numFmtId="0" fontId="17" fillId="0" borderId="48" xfId="0" applyFont="1" applyBorder="1" applyAlignment="1" applyProtection="1">
      <alignment horizontal="left" vertical="center"/>
    </xf>
    <xf numFmtId="0" fontId="13" fillId="0" borderId="37" xfId="0" applyFont="1" applyBorder="1" applyAlignment="1" applyProtection="1">
      <alignment horizontal="left" vertical="center"/>
    </xf>
    <xf numFmtId="0" fontId="13" fillId="0" borderId="31" xfId="0" applyFont="1" applyBorder="1" applyAlignment="1" applyProtection="1">
      <alignment horizontal="left" vertical="center"/>
    </xf>
    <xf numFmtId="0" fontId="13" fillId="0" borderId="32" xfId="0" applyFont="1" applyBorder="1" applyAlignment="1" applyProtection="1">
      <alignment horizontal="left" vertical="center"/>
    </xf>
    <xf numFmtId="0" fontId="13" fillId="2" borderId="55" xfId="0" applyFont="1" applyFill="1" applyBorder="1" applyAlignment="1" applyProtection="1">
      <alignment horizontal="center"/>
    </xf>
    <xf numFmtId="0" fontId="13" fillId="2" borderId="60" xfId="0" applyFont="1" applyFill="1" applyBorder="1" applyAlignment="1" applyProtection="1">
      <alignment horizontal="center"/>
    </xf>
    <xf numFmtId="0" fontId="17" fillId="0" borderId="45" xfId="0" applyFont="1" applyBorder="1" applyAlignment="1" applyProtection="1">
      <alignment horizontal="left" vertical="center"/>
    </xf>
    <xf numFmtId="0" fontId="17" fillId="0" borderId="17" xfId="0" applyFont="1" applyBorder="1" applyAlignment="1" applyProtection="1">
      <alignment horizontal="left" vertical="center"/>
    </xf>
    <xf numFmtId="0" fontId="17" fillId="0" borderId="46" xfId="0" applyFont="1" applyBorder="1" applyAlignment="1" applyProtection="1">
      <alignment horizontal="left" vertical="center"/>
    </xf>
    <xf numFmtId="0" fontId="105" fillId="16" borderId="18" xfId="23" applyFont="1" applyFill="1" applyBorder="1" applyAlignment="1" applyProtection="1">
      <alignment horizontal="right"/>
    </xf>
    <xf numFmtId="0" fontId="105" fillId="16" borderId="18" xfId="23" applyFont="1" applyFill="1" applyBorder="1" applyAlignment="1" applyProtection="1">
      <alignment horizontal="left"/>
    </xf>
    <xf numFmtId="0" fontId="13" fillId="0" borderId="4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36" xfId="0" applyFont="1" applyBorder="1" applyAlignment="1" applyProtection="1">
      <alignment horizontal="center" vertical="center"/>
    </xf>
    <xf numFmtId="0" fontId="13" fillId="0" borderId="35" xfId="0" applyFont="1" applyBorder="1" applyAlignment="1" applyProtection="1">
      <alignment horizontal="left" vertical="center"/>
    </xf>
    <xf numFmtId="0" fontId="7" fillId="0" borderId="35" xfId="0" applyFont="1" applyBorder="1" applyAlignment="1" applyProtection="1">
      <alignment horizontal="left" vertical="center"/>
    </xf>
    <xf numFmtId="0" fontId="13" fillId="0" borderId="35" xfId="0" applyFont="1" applyBorder="1" applyAlignment="1" applyProtection="1">
      <alignment horizontal="left"/>
    </xf>
    <xf numFmtId="0" fontId="13" fillId="0" borderId="17" xfId="0" applyFont="1" applyBorder="1" applyAlignment="1" applyProtection="1">
      <alignment horizontal="left"/>
    </xf>
    <xf numFmtId="0" fontId="13" fillId="0" borderId="36" xfId="0" applyFont="1" applyBorder="1" applyAlignment="1" applyProtection="1">
      <alignment horizontal="left"/>
    </xf>
    <xf numFmtId="0" fontId="7" fillId="0" borderId="45" xfId="0" applyFont="1" applyBorder="1" applyAlignment="1" applyProtection="1">
      <alignment horizontal="left" vertical="center"/>
    </xf>
    <xf numFmtId="0" fontId="13" fillId="0" borderId="46" xfId="0" applyFont="1" applyBorder="1" applyAlignment="1" applyProtection="1">
      <alignment horizontal="left" vertical="center"/>
    </xf>
    <xf numFmtId="0" fontId="13" fillId="0" borderId="0" xfId="0" applyFont="1" applyFill="1" applyBorder="1" applyAlignment="1" applyProtection="1">
      <alignment horizontal="center" vertical="center" wrapText="1"/>
    </xf>
    <xf numFmtId="0" fontId="13" fillId="3" borderId="25" xfId="0" applyFont="1" applyFill="1" applyBorder="1" applyAlignment="1" applyProtection="1">
      <alignment horizontal="center" vertical="center" wrapText="1"/>
      <protection locked="0"/>
    </xf>
    <xf numFmtId="0" fontId="21" fillId="4" borderId="19" xfId="0" applyFont="1" applyFill="1" applyBorder="1" applyAlignment="1" applyProtection="1">
      <alignment horizontal="right"/>
    </xf>
    <xf numFmtId="0" fontId="21" fillId="4" borderId="20" xfId="0" applyFont="1" applyFill="1" applyBorder="1" applyAlignment="1" applyProtection="1">
      <alignment horizontal="right"/>
    </xf>
    <xf numFmtId="0" fontId="13" fillId="0" borderId="20" xfId="0" applyFont="1" applyBorder="1" applyAlignment="1" applyProtection="1">
      <alignment horizontal="center" vertical="center" wrapText="1"/>
    </xf>
    <xf numFmtId="0" fontId="17" fillId="0" borderId="26" xfId="0" applyFont="1" applyBorder="1" applyAlignment="1" applyProtection="1">
      <alignment horizontal="left" vertical="center"/>
    </xf>
    <xf numFmtId="0" fontId="17" fillId="0" borderId="18" xfId="0" applyFont="1" applyBorder="1" applyAlignment="1" applyProtection="1">
      <alignment horizontal="left" vertical="center"/>
    </xf>
    <xf numFmtId="0" fontId="7" fillId="0" borderId="38"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0" xfId="0" applyFont="1" applyBorder="1" applyAlignment="1" applyProtection="1">
      <alignment horizontal="center" vertical="center" wrapText="1"/>
    </xf>
    <xf numFmtId="0" fontId="13" fillId="0" borderId="41" xfId="0" applyFont="1" applyBorder="1" applyAlignment="1" applyProtection="1">
      <alignment horizontal="center" vertical="center" wrapText="1"/>
    </xf>
    <xf numFmtId="0" fontId="7" fillId="0" borderId="40" xfId="0" applyFont="1" applyBorder="1" applyAlignment="1" applyProtection="1">
      <alignment horizontal="center" vertical="center" wrapText="1"/>
    </xf>
    <xf numFmtId="0" fontId="13" fillId="0" borderId="27" xfId="0" applyFont="1" applyBorder="1" applyAlignment="1" applyProtection="1">
      <alignment horizontal="left" vertical="center"/>
    </xf>
    <xf numFmtId="0" fontId="17" fillId="0" borderId="0" xfId="0" applyFont="1" applyBorder="1" applyAlignment="1" applyProtection="1">
      <alignment horizontal="left" vertical="center"/>
    </xf>
    <xf numFmtId="0" fontId="7" fillId="0" borderId="44" xfId="0" applyFont="1" applyFill="1" applyBorder="1" applyAlignment="1" applyProtection="1">
      <alignment horizontal="right" vertical="center" wrapText="1"/>
    </xf>
    <xf numFmtId="0" fontId="13" fillId="0" borderId="33" xfId="0" applyFont="1" applyFill="1" applyBorder="1" applyAlignment="1" applyProtection="1">
      <alignment horizontal="right" vertical="center" wrapText="1"/>
    </xf>
    <xf numFmtId="0" fontId="13" fillId="0" borderId="47" xfId="0" applyFont="1" applyFill="1" applyBorder="1" applyAlignment="1" applyProtection="1">
      <alignment horizontal="right" vertical="center" wrapText="1"/>
    </xf>
    <xf numFmtId="49" fontId="7" fillId="3" borderId="8" xfId="0" quotePrefix="1" applyNumberFormat="1" applyFont="1" applyFill="1" applyBorder="1" applyAlignment="1" applyProtection="1">
      <alignment horizontal="center" vertical="center" wrapText="1"/>
      <protection locked="0"/>
    </xf>
    <xf numFmtId="49" fontId="13" fillId="3" borderId="8" xfId="0" applyNumberFormat="1" applyFont="1" applyFill="1" applyBorder="1" applyAlignment="1" applyProtection="1">
      <alignment horizontal="center" vertical="center" wrapText="1"/>
      <protection locked="0"/>
    </xf>
    <xf numFmtId="49" fontId="13" fillId="3" borderId="35" xfId="0" applyNumberFormat="1" applyFont="1" applyFill="1" applyBorder="1" applyAlignment="1" applyProtection="1">
      <alignment horizontal="center" vertical="center" wrapText="1"/>
      <protection locked="0"/>
    </xf>
    <xf numFmtId="0" fontId="17" fillId="0" borderId="55"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0" borderId="60" xfId="0" applyFont="1" applyBorder="1" applyAlignment="1" applyProtection="1">
      <alignment horizontal="center" vertical="center"/>
    </xf>
    <xf numFmtId="0" fontId="17" fillId="0" borderId="55" xfId="0" quotePrefix="1" applyFont="1" applyBorder="1" applyAlignment="1" applyProtection="1">
      <alignment horizontal="center" vertical="center"/>
    </xf>
    <xf numFmtId="0" fontId="17" fillId="0" borderId="26" xfId="0" quotePrefix="1" applyFont="1" applyBorder="1" applyAlignment="1" applyProtection="1">
      <alignment horizontal="center" vertical="center"/>
    </xf>
    <xf numFmtId="0" fontId="17" fillId="0" borderId="60" xfId="0" quotePrefix="1" applyFont="1" applyBorder="1" applyAlignment="1" applyProtection="1">
      <alignment horizontal="center" vertical="center"/>
    </xf>
    <xf numFmtId="49" fontId="7" fillId="3" borderId="20" xfId="0" quotePrefix="1" applyNumberFormat="1" applyFont="1" applyFill="1" applyBorder="1" applyAlignment="1" applyProtection="1">
      <alignment horizontal="center" vertical="center" wrapText="1"/>
      <protection locked="0"/>
    </xf>
    <xf numFmtId="49" fontId="13" fillId="3" borderId="20" xfId="0" applyNumberFormat="1" applyFont="1" applyFill="1" applyBorder="1" applyAlignment="1" applyProtection="1">
      <alignment horizontal="center" vertical="center" wrapText="1"/>
      <protection locked="0"/>
    </xf>
    <xf numFmtId="49" fontId="13" fillId="3" borderId="37" xfId="0" applyNumberFormat="1" applyFont="1" applyFill="1" applyBorder="1" applyAlignment="1" applyProtection="1">
      <alignment horizontal="center" vertical="center" wrapText="1"/>
      <protection locked="0"/>
    </xf>
    <xf numFmtId="0" fontId="17" fillId="0" borderId="55" xfId="0" applyFont="1" applyBorder="1" applyAlignment="1" applyProtection="1">
      <alignment horizontal="center" vertical="top"/>
    </xf>
    <xf numFmtId="0" fontId="17" fillId="0" borderId="26" xfId="0" applyFont="1" applyBorder="1" applyAlignment="1" applyProtection="1">
      <alignment horizontal="center" vertical="top"/>
    </xf>
    <xf numFmtId="0" fontId="17" fillId="0" borderId="60" xfId="0" applyFont="1" applyBorder="1" applyAlignment="1" applyProtection="1">
      <alignment horizontal="center" vertical="top"/>
    </xf>
    <xf numFmtId="0" fontId="7" fillId="3" borderId="8" xfId="0" applyFont="1" applyFill="1" applyBorder="1" applyAlignment="1" applyProtection="1">
      <alignment horizontal="center"/>
      <protection locked="0"/>
    </xf>
    <xf numFmtId="0" fontId="13" fillId="3" borderId="8" xfId="0" applyFont="1" applyFill="1" applyBorder="1" applyAlignment="1" applyProtection="1">
      <alignment horizontal="center"/>
      <protection locked="0"/>
    </xf>
    <xf numFmtId="0" fontId="13" fillId="3" borderId="35" xfId="0" applyFont="1" applyFill="1" applyBorder="1" applyAlignment="1" applyProtection="1">
      <alignment horizontal="center"/>
      <protection locked="0"/>
    </xf>
    <xf numFmtId="0" fontId="98" fillId="0" borderId="0" xfId="15" applyFont="1" applyAlignment="1" applyProtection="1">
      <alignment horizontal="center" vertical="center" textRotation="90"/>
    </xf>
    <xf numFmtId="0" fontId="99" fillId="0" borderId="136" xfId="15" applyFont="1" applyBorder="1" applyAlignment="1" applyProtection="1">
      <alignment horizontal="center" vertical="center" wrapText="1"/>
    </xf>
    <xf numFmtId="0" fontId="99" fillId="0" borderId="136" xfId="15" applyFont="1" applyBorder="1" applyAlignment="1" applyProtection="1">
      <alignment horizontal="center" vertical="center"/>
    </xf>
    <xf numFmtId="0" fontId="99" fillId="0" borderId="135" xfId="15" applyFont="1" applyBorder="1" applyAlignment="1" applyProtection="1">
      <alignment horizontal="center" vertical="center"/>
    </xf>
    <xf numFmtId="0" fontId="99" fillId="0" borderId="0" xfId="18" applyFont="1" applyBorder="1" applyAlignment="1" applyProtection="1">
      <alignment horizontal="center" vertical="center" wrapText="1"/>
    </xf>
    <xf numFmtId="0" fontId="99" fillId="0" borderId="0" xfId="18" applyFont="1" applyBorder="1" applyAlignment="1" applyProtection="1">
      <alignment horizontal="center" vertical="center"/>
    </xf>
    <xf numFmtId="0" fontId="13" fillId="2" borderId="164" xfId="0" applyFont="1" applyFill="1" applyBorder="1" applyAlignment="1" applyProtection="1">
      <alignment horizontal="center"/>
    </xf>
    <xf numFmtId="0" fontId="13" fillId="2" borderId="52" xfId="0" applyFont="1" applyFill="1" applyBorder="1" applyAlignment="1" applyProtection="1">
      <alignment horizontal="center"/>
    </xf>
    <xf numFmtId="0" fontId="13" fillId="0" borderId="161" xfId="0" applyFont="1" applyBorder="1" applyAlignment="1" applyProtection="1">
      <alignment horizontal="center" vertical="center"/>
    </xf>
    <xf numFmtId="0" fontId="13" fillId="3" borderId="8" xfId="0" applyFont="1" applyFill="1" applyBorder="1" applyAlignment="1" applyProtection="1">
      <alignment horizontal="center" vertical="center" wrapText="1"/>
    </xf>
    <xf numFmtId="0" fontId="13" fillId="3" borderId="25" xfId="0" applyFont="1" applyFill="1" applyBorder="1" applyAlignment="1" applyProtection="1">
      <alignment horizontal="center" vertical="center" wrapText="1"/>
    </xf>
    <xf numFmtId="0" fontId="13" fillId="0" borderId="25" xfId="0" applyFont="1" applyBorder="1" applyAlignment="1" applyProtection="1">
      <alignment horizontal="center" vertical="center" wrapText="1"/>
    </xf>
  </cellXfs>
  <cellStyles count="29">
    <cellStyle name="Hyperlink" xfId="1" builtinId="8"/>
    <cellStyle name="Hyperlink 2" xfId="9"/>
    <cellStyle name="Hyperlink 3" xfId="11"/>
    <cellStyle name="Hyperlink 4" xfId="7"/>
    <cellStyle name="Normal" xfId="0" builtinId="0"/>
    <cellStyle name="Normal 2" xfId="8"/>
    <cellStyle name="Normal 2 2" xfId="12"/>
    <cellStyle name="Normal 2 3" xfId="17"/>
    <cellStyle name="Normal 2 3 2" xfId="26"/>
    <cellStyle name="Normal 2 4" xfId="20"/>
    <cellStyle name="Normal 3" xfId="10"/>
    <cellStyle name="Normal 3 2" xfId="18"/>
    <cellStyle name="Normal 3 2 2" xfId="27"/>
    <cellStyle name="Normal 3 3" xfId="21"/>
    <cellStyle name="Normal 4" xfId="6"/>
    <cellStyle name="Normal 5" xfId="14"/>
    <cellStyle name="Normal 5 2" xfId="23"/>
    <cellStyle name="Normal 6" xfId="15"/>
    <cellStyle name="Normal 6 2" xfId="24"/>
    <cellStyle name="Normal 7" xfId="5"/>
    <cellStyle name="Normal_air91co24" xfId="2"/>
    <cellStyle name="Normal_CIPM Air Density" xfId="3"/>
    <cellStyle name="Normal_kragten2298" xfId="4"/>
    <cellStyle name="Percent 2" xfId="13"/>
    <cellStyle name="Percent 2 2" xfId="19"/>
    <cellStyle name="Percent 2 2 2" xfId="28"/>
    <cellStyle name="Percent 2 3" xfId="22"/>
    <cellStyle name="Percent 3" xfId="16"/>
    <cellStyle name="Percent 3 2" xfId="25"/>
  </cellStyles>
  <dxfs count="3">
    <dxf>
      <font>
        <color theme="6" tint="-0.499984740745262"/>
      </font>
      <fill>
        <patternFill>
          <bgColor theme="6" tint="0.39994506668294322"/>
        </patternFill>
      </fill>
    </dxf>
    <dxf>
      <font>
        <color theme="6" tint="-0.499984740745262"/>
      </font>
      <fill>
        <patternFill>
          <bgColor theme="6" tint="0.39994506668294322"/>
        </patternFill>
      </fill>
    </dxf>
    <dxf>
      <font>
        <color theme="6" tint="-0.499984740745262"/>
      </font>
      <fill>
        <patternFill>
          <bgColor theme="6" tint="0.39994506668294322"/>
        </patternFill>
      </fill>
    </dxf>
  </dxfs>
  <tableStyles count="0" defaultTableStyle="TableStyleMedium2" defaultPivotStyle="PivotStyleLight16"/>
  <colors>
    <mruColors>
      <color rgb="FFFFFFC9"/>
      <color rgb="FFC0E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chartsheet" Target="chartsheets/sheet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200" b="1" i="0" u="none" strike="noStrike" baseline="0">
                <a:solidFill>
                  <a:srgbClr val="000000"/>
                </a:solidFill>
                <a:latin typeface="Arial"/>
                <a:ea typeface="Arial"/>
                <a:cs typeface="Arial"/>
              </a:defRPr>
            </a:pPr>
            <a:r>
              <a:rPr lang="en-US"/>
              <a:t>Water Density Formula Comparison</a:t>
            </a:r>
          </a:p>
        </c:rich>
      </c:tx>
      <c:layout>
        <c:manualLayout>
          <c:xMode val="edge"/>
          <c:yMode val="edge"/>
          <c:x val="0.34628190899001132"/>
          <c:y val="1.9575856443719449E-2"/>
        </c:manualLayout>
      </c:layout>
      <c:overlay val="0"/>
      <c:spPr>
        <a:noFill/>
        <a:ln w="25400">
          <a:noFill/>
        </a:ln>
      </c:spPr>
    </c:title>
    <c:autoTitleDeleted val="0"/>
    <c:plotArea>
      <c:layout>
        <c:manualLayout>
          <c:layoutTarget val="inner"/>
          <c:xMode val="edge"/>
          <c:yMode val="edge"/>
          <c:x val="0.10876803551609326"/>
          <c:y val="0.12398042414355628"/>
          <c:w val="0.78246392896781225"/>
          <c:h val="0.73083197389885923"/>
        </c:manualLayout>
      </c:layout>
      <c:scatterChart>
        <c:scatterStyle val="lineMarker"/>
        <c:varyColors val="0"/>
        <c:ser>
          <c:idx val="0"/>
          <c:order val="0"/>
          <c:tx>
            <c:v>Patterson/Morris</c:v>
          </c:tx>
          <c:spPr>
            <a:ln w="28575">
              <a:noFill/>
            </a:ln>
          </c:spPr>
          <c:marker>
            <c:symbol val="triangle"/>
            <c:size val="6"/>
            <c:spPr>
              <a:solidFill>
                <a:srgbClr val="000080"/>
              </a:solidFill>
              <a:ln>
                <a:solidFill>
                  <a:srgbClr val="000080"/>
                </a:solidFill>
                <a:prstDash val="solid"/>
              </a:ln>
            </c:spPr>
          </c:marker>
          <c:xVal>
            <c:numRef>
              <c:f>'Water Density'!$A$6:$A$41</c:f>
              <c:numCache>
                <c:formatCode>General</c:formatCode>
                <c:ptCount val="3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numCache>
            </c:numRef>
          </c:xVal>
          <c:yVal>
            <c:numRef>
              <c:f>'Water Density'!$B$6:$B$41</c:f>
              <c:numCache>
                <c:formatCode>0.000000</c:formatCode>
                <c:ptCount val="36"/>
                <c:pt idx="0">
                  <c:v>0.99996537033869526</c:v>
                </c:pt>
                <c:pt idx="1">
                  <c:v>0.99994176434026305</c:v>
                </c:pt>
                <c:pt idx="2">
                  <c:v>0.99990318653073873</c:v>
                </c:pt>
                <c:pt idx="3">
                  <c:v>0.99985004865331195</c:v>
                </c:pt>
                <c:pt idx="4">
                  <c:v>0.99978274619843577</c:v>
                </c:pt>
                <c:pt idx="5">
                  <c:v>0.99970165883539031</c:v>
                </c:pt>
                <c:pt idx="6">
                  <c:v>0.99960715084384555</c:v>
                </c:pt>
                <c:pt idx="7">
                  <c:v>0.99949957154542635</c:v>
                </c:pt>
                <c:pt idx="8">
                  <c:v>0.9993792557352742</c:v>
                </c:pt>
                <c:pt idx="9">
                  <c:v>0.99924652411361248</c:v>
                </c:pt>
                <c:pt idx="10">
                  <c:v>0.99910168371730923</c:v>
                </c:pt>
                <c:pt idx="11">
                  <c:v>0.99894502835144017</c:v>
                </c:pt>
                <c:pt idx="12">
                  <c:v>0.99877683902085335</c:v>
                </c:pt>
                <c:pt idx="13">
                  <c:v>0.99859738436173207</c:v>
                </c:pt>
                <c:pt idx="14">
                  <c:v>0.99840692107315865</c:v>
                </c:pt>
                <c:pt idx="15">
                  <c:v>0.99820569434867756</c:v>
                </c:pt>
                <c:pt idx="16">
                  <c:v>0.99799393830785954</c:v>
                </c:pt>
                <c:pt idx="17">
                  <c:v>0.99777187642786525</c:v>
                </c:pt>
                <c:pt idx="18">
                  <c:v>0.99753972197500773</c:v>
                </c:pt>
                <c:pt idx="19">
                  <c:v>0.99729767843631756</c:v>
                </c:pt>
                <c:pt idx="20">
                  <c:v>0.99704593995110524</c:v>
                </c:pt>
                <c:pt idx="21">
                  <c:v>0.99678469174252482</c:v>
                </c:pt>
                <c:pt idx="22">
                  <c:v>0.9965141105491383</c:v>
                </c:pt>
                <c:pt idx="23">
                  <c:v>0.99623436505647844</c:v>
                </c:pt>
                <c:pt idx="24">
                  <c:v>0.995945616328612</c:v>
                </c:pt>
                <c:pt idx="25">
                  <c:v>0.99564801823970484</c:v>
                </c:pt>
                <c:pt idx="26">
                  <c:v>0.99534171790558335</c:v>
                </c:pt>
                <c:pt idx="27">
                  <c:v>0.99502685611529962</c:v>
                </c:pt>
                <c:pt idx="28">
                  <c:v>0.99470356776269475</c:v>
                </c:pt>
                <c:pt idx="29">
                  <c:v>0.99437198227796175</c:v>
                </c:pt>
                <c:pt idx="30">
                  <c:v>0.99403222405920943</c:v>
                </c:pt>
                <c:pt idx="31">
                  <c:v>0.99368441290402632</c:v>
                </c:pt>
                <c:pt idx="32">
                  <c:v>0.99332866444104362</c:v>
                </c:pt>
                <c:pt idx="33">
                  <c:v>0.9929650905614994</c:v>
                </c:pt>
                <c:pt idx="34">
                  <c:v>0.99259379985080143</c:v>
                </c:pt>
                <c:pt idx="35">
                  <c:v>0.99221489802009144</c:v>
                </c:pt>
              </c:numCache>
            </c:numRef>
          </c:yVal>
          <c:smooth val="0"/>
          <c:extLst>
            <c:ext xmlns:c16="http://schemas.microsoft.com/office/drawing/2014/chart" uri="{C3380CC4-5D6E-409C-BE32-E72D297353CC}">
              <c16:uniqueId val="{00000000-BF31-4D84-BDA2-03459FA88A12}"/>
            </c:ext>
          </c:extLst>
        </c:ser>
        <c:ser>
          <c:idx val="1"/>
          <c:order val="1"/>
          <c:tx>
            <c:v>Jones/Harris</c:v>
          </c:tx>
          <c:spPr>
            <a:ln w="3175">
              <a:solidFill>
                <a:srgbClr val="FF00FF"/>
              </a:solidFill>
              <a:prstDash val="solid"/>
            </a:ln>
          </c:spPr>
          <c:marker>
            <c:symbol val="triangle"/>
            <c:size val="3"/>
            <c:spPr>
              <a:solidFill>
                <a:srgbClr val="FF00FF"/>
              </a:solidFill>
              <a:ln>
                <a:solidFill>
                  <a:srgbClr val="FF00FF"/>
                </a:solidFill>
                <a:prstDash val="solid"/>
              </a:ln>
            </c:spPr>
          </c:marker>
          <c:xVal>
            <c:numRef>
              <c:f>'Water Density'!$A$6:$A$41</c:f>
              <c:numCache>
                <c:formatCode>General</c:formatCode>
                <c:ptCount val="3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numCache>
            </c:numRef>
          </c:xVal>
          <c:yVal>
            <c:numRef>
              <c:f>'Water Density'!$D$6:$D$41</c:f>
              <c:numCache>
                <c:formatCode>General</c:formatCode>
                <c:ptCount val="36"/>
                <c:pt idx="0">
                  <c:v>0.99996099999999999</c:v>
                </c:pt>
                <c:pt idx="1">
                  <c:v>0.99993600000000005</c:v>
                </c:pt>
                <c:pt idx="2">
                  <c:v>0.99989700000000004</c:v>
                </c:pt>
                <c:pt idx="3">
                  <c:v>0.99984399999999996</c:v>
                </c:pt>
                <c:pt idx="4">
                  <c:v>0.99977700000000003</c:v>
                </c:pt>
                <c:pt idx="5">
                  <c:v>0.999695</c:v>
                </c:pt>
                <c:pt idx="6">
                  <c:v>0.99960099999999996</c:v>
                </c:pt>
                <c:pt idx="7">
                  <c:v>0.99949399999999999</c:v>
                </c:pt>
                <c:pt idx="8">
                  <c:v>0.99937299999999996</c:v>
                </c:pt>
                <c:pt idx="9">
                  <c:v>0.99924100000000005</c:v>
                </c:pt>
                <c:pt idx="10">
                  <c:v>0.99909599999999998</c:v>
                </c:pt>
                <c:pt idx="11">
                  <c:v>0.99894000000000005</c:v>
                </c:pt>
                <c:pt idx="12">
                  <c:v>0.99877199999999999</c:v>
                </c:pt>
                <c:pt idx="13">
                  <c:v>0.99859200000000004</c:v>
                </c:pt>
                <c:pt idx="14">
                  <c:v>0.99840200000000001</c:v>
                </c:pt>
                <c:pt idx="15">
                  <c:v>0.998201</c:v>
                </c:pt>
                <c:pt idx="16">
                  <c:v>0.99798900000000001</c:v>
                </c:pt>
                <c:pt idx="17">
                  <c:v>0.99776699999999996</c:v>
                </c:pt>
                <c:pt idx="18">
                  <c:v>0.99753499999999995</c:v>
                </c:pt>
                <c:pt idx="19">
                  <c:v>0.99729299999999999</c:v>
                </c:pt>
                <c:pt idx="20">
                  <c:v>0.99704099999999996</c:v>
                </c:pt>
                <c:pt idx="21">
                  <c:v>0.99678</c:v>
                </c:pt>
                <c:pt idx="22">
                  <c:v>0.99650899999999998</c:v>
                </c:pt>
                <c:pt idx="23">
                  <c:v>0.99622999999999995</c:v>
                </c:pt>
                <c:pt idx="24">
                  <c:v>0.99594099999999997</c:v>
                </c:pt>
                <c:pt idx="25">
                  <c:v>0.99564299999999994</c:v>
                </c:pt>
                <c:pt idx="26">
                  <c:v>0.99533700000000003</c:v>
                </c:pt>
                <c:pt idx="27">
                  <c:v>0.99502299999999999</c:v>
                </c:pt>
                <c:pt idx="28">
                  <c:v>0.994699</c:v>
                </c:pt>
                <c:pt idx="29">
                  <c:v>0.99436800000000003</c:v>
                </c:pt>
                <c:pt idx="30">
                  <c:v>0.99402800000000002</c:v>
                </c:pt>
                <c:pt idx="31">
                  <c:v>0.99368100000000004</c:v>
                </c:pt>
                <c:pt idx="32">
                  <c:v>0.99332500000000001</c:v>
                </c:pt>
                <c:pt idx="33">
                  <c:v>0.99296099999999998</c:v>
                </c:pt>
                <c:pt idx="34">
                  <c:v>0.99258999999999997</c:v>
                </c:pt>
                <c:pt idx="35">
                  <c:v>0.99221099999999995</c:v>
                </c:pt>
              </c:numCache>
            </c:numRef>
          </c:yVal>
          <c:smooth val="0"/>
          <c:extLst>
            <c:ext xmlns:c16="http://schemas.microsoft.com/office/drawing/2014/chart" uri="{C3380CC4-5D6E-409C-BE32-E72D297353CC}">
              <c16:uniqueId val="{00000001-BF31-4D84-BDA2-03459FA88A12}"/>
            </c:ext>
          </c:extLst>
        </c:ser>
        <c:dLbls>
          <c:showLegendKey val="0"/>
          <c:showVal val="0"/>
          <c:showCatName val="0"/>
          <c:showSerName val="0"/>
          <c:showPercent val="0"/>
          <c:showBubbleSize val="0"/>
        </c:dLbls>
        <c:axId val="274812696"/>
        <c:axId val="278342960"/>
      </c:scatterChart>
      <c:scatterChart>
        <c:scatterStyle val="lineMarker"/>
        <c:varyColors val="0"/>
        <c:ser>
          <c:idx val="2"/>
          <c:order val="2"/>
          <c:tx>
            <c:v>Difference (ppm)</c:v>
          </c:tx>
          <c:spPr>
            <a:ln w="28575">
              <a:noFill/>
            </a:ln>
          </c:spPr>
          <c:marker>
            <c:symbol val="triangle"/>
            <c:size val="7"/>
            <c:spPr>
              <a:solidFill>
                <a:srgbClr val="FF0000"/>
              </a:solidFill>
              <a:ln>
                <a:solidFill>
                  <a:srgbClr val="FF0000"/>
                </a:solidFill>
                <a:prstDash val="solid"/>
              </a:ln>
            </c:spPr>
          </c:marker>
          <c:trendline>
            <c:spPr>
              <a:ln w="25400">
                <a:solidFill>
                  <a:srgbClr val="000000"/>
                </a:solidFill>
                <a:prstDash val="solid"/>
              </a:ln>
            </c:spPr>
            <c:trendlineType val="linear"/>
            <c:dispRSqr val="0"/>
            <c:dispEq val="0"/>
          </c:trendline>
          <c:xVal>
            <c:numRef>
              <c:f>'Water Density'!$A$6:$A$41</c:f>
              <c:numCache>
                <c:formatCode>General</c:formatCode>
                <c:ptCount val="3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numCache>
            </c:numRef>
          </c:xVal>
          <c:yVal>
            <c:numRef>
              <c:f>'Water Density'!$G$6:$G$41</c:f>
              <c:numCache>
                <c:formatCode>0.000000</c:formatCode>
                <c:ptCount val="36"/>
                <c:pt idx="0">
                  <c:v>4.3703386952698153</c:v>
                </c:pt>
                <c:pt idx="1">
                  <c:v>5.7643402630036533</c:v>
                </c:pt>
                <c:pt idx="2">
                  <c:v>6.1865307386943513</c:v>
                </c:pt>
                <c:pt idx="3">
                  <c:v>6.0486533119963326</c:v>
                </c:pt>
                <c:pt idx="4">
                  <c:v>5.746198435740979</c:v>
                </c:pt>
                <c:pt idx="5">
                  <c:v>6.6588353903052067</c:v>
                </c:pt>
                <c:pt idx="6">
                  <c:v>6.1508438455870618</c:v>
                </c:pt>
                <c:pt idx="7">
                  <c:v>5.571545426352742</c:v>
                </c:pt>
                <c:pt idx="8">
                  <c:v>6.2557352742409478</c:v>
                </c:pt>
                <c:pt idx="9">
                  <c:v>5.5241136124317691</c:v>
                </c:pt>
                <c:pt idx="10">
                  <c:v>5.6837173092461057</c:v>
                </c:pt>
                <c:pt idx="11">
                  <c:v>5.0283514401172624</c:v>
                </c:pt>
                <c:pt idx="12">
                  <c:v>4.8390208533533041</c:v>
                </c:pt>
                <c:pt idx="13">
                  <c:v>5.3843617320303849</c:v>
                </c:pt>
                <c:pt idx="14">
                  <c:v>4.9210731586368794</c:v>
                </c:pt>
                <c:pt idx="15">
                  <c:v>4.6943486775585797</c:v>
                </c:pt>
                <c:pt idx="16">
                  <c:v>4.938307859525537</c:v>
                </c:pt>
                <c:pt idx="17">
                  <c:v>4.8764278652857485</c:v>
                </c:pt>
                <c:pt idx="18">
                  <c:v>4.7219750077820422</c:v>
                </c:pt>
                <c:pt idx="19">
                  <c:v>4.6784363175733645</c:v>
                </c:pt>
                <c:pt idx="20">
                  <c:v>4.9399511052872214</c:v>
                </c:pt>
                <c:pt idx="21">
                  <c:v>4.6917425248205191</c:v>
                </c:pt>
                <c:pt idx="22">
                  <c:v>5.1105491383207635</c:v>
                </c:pt>
                <c:pt idx="23">
                  <c:v>4.3650564784947221</c:v>
                </c:pt>
                <c:pt idx="24">
                  <c:v>4.616328612039311</c:v>
                </c:pt>
                <c:pt idx="25">
                  <c:v>5.0182397048903482</c:v>
                </c:pt>
                <c:pt idx="26">
                  <c:v>4.7179055833179717</c:v>
                </c:pt>
                <c:pt idx="27">
                  <c:v>3.8561152996274828</c:v>
                </c:pt>
                <c:pt idx="28">
                  <c:v>4.5677626947515648</c:v>
                </c:pt>
                <c:pt idx="29">
                  <c:v>3.98227796172268</c:v>
                </c:pt>
                <c:pt idx="30">
                  <c:v>4.2240592094122675</c:v>
                </c:pt>
                <c:pt idx="31">
                  <c:v>3.4129040262786958</c:v>
                </c:pt>
                <c:pt idx="32">
                  <c:v>3.6644410436048602</c:v>
                </c:pt>
                <c:pt idx="33">
                  <c:v>4.0905614994146688</c:v>
                </c:pt>
                <c:pt idx="34">
                  <c:v>3.7998508014558396</c:v>
                </c:pt>
                <c:pt idx="35">
                  <c:v>3.8980200914862095</c:v>
                </c:pt>
              </c:numCache>
            </c:numRef>
          </c:yVal>
          <c:smooth val="0"/>
          <c:extLst>
            <c:ext xmlns:c16="http://schemas.microsoft.com/office/drawing/2014/chart" uri="{C3380CC4-5D6E-409C-BE32-E72D297353CC}">
              <c16:uniqueId val="{00000002-BF31-4D84-BDA2-03459FA88A12}"/>
            </c:ext>
          </c:extLst>
        </c:ser>
        <c:dLbls>
          <c:showLegendKey val="0"/>
          <c:showVal val="0"/>
          <c:showCatName val="0"/>
          <c:showSerName val="0"/>
          <c:showPercent val="0"/>
          <c:showBubbleSize val="0"/>
        </c:dLbls>
        <c:axId val="278343352"/>
        <c:axId val="278343744"/>
      </c:scatterChart>
      <c:valAx>
        <c:axId val="27481269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Temperature</a:t>
                </a:r>
              </a:p>
            </c:rich>
          </c:tx>
          <c:layout>
            <c:manualLayout>
              <c:xMode val="edge"/>
              <c:yMode val="edge"/>
              <c:x val="0.45172031076581581"/>
              <c:y val="0.905383360522021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8342960"/>
        <c:crosses val="autoZero"/>
        <c:crossBetween val="midCat"/>
      </c:valAx>
      <c:valAx>
        <c:axId val="27834296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Water Density (g/cm3)</a:t>
                </a:r>
              </a:p>
            </c:rich>
          </c:tx>
          <c:layout>
            <c:manualLayout>
              <c:xMode val="edge"/>
              <c:yMode val="edge"/>
              <c:x val="1.1098779134295227E-2"/>
              <c:y val="0.37194127243066882"/>
            </c:manualLayout>
          </c:layout>
          <c:overlay val="0"/>
          <c:spPr>
            <a:noFill/>
            <a:ln w="25400">
              <a:noFill/>
            </a:ln>
          </c:spPr>
        </c:title>
        <c:numFmt formatCode="0.00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4812696"/>
        <c:crosses val="autoZero"/>
        <c:crossBetween val="midCat"/>
      </c:valAx>
      <c:valAx>
        <c:axId val="278343352"/>
        <c:scaling>
          <c:orientation val="minMax"/>
        </c:scaling>
        <c:delete val="1"/>
        <c:axPos val="b"/>
        <c:numFmt formatCode="General" sourceLinked="1"/>
        <c:majorTickMark val="out"/>
        <c:minorTickMark val="none"/>
        <c:tickLblPos val="none"/>
        <c:crossAx val="278343744"/>
        <c:crosses val="autoZero"/>
        <c:crossBetween val="midCat"/>
      </c:valAx>
      <c:valAx>
        <c:axId val="278343744"/>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US"/>
                  <a:t>Difference (ppm)</a:t>
                </a:r>
              </a:p>
            </c:rich>
          </c:tx>
          <c:layout>
            <c:manualLayout>
              <c:xMode val="edge"/>
              <c:yMode val="edge"/>
              <c:x val="0.96337402885682577"/>
              <c:y val="0.39967373572593856"/>
            </c:manualLayout>
          </c:layout>
          <c:overlay val="0"/>
          <c:spPr>
            <a:noFill/>
            <a:ln w="25400">
              <a:noFill/>
            </a:ln>
          </c:spPr>
        </c:title>
        <c:numFmt formatCode="0.0000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8343352"/>
        <c:crosses val="max"/>
        <c:crossBetween val="midCat"/>
      </c:valAx>
      <c:spPr>
        <a:solidFill>
          <a:srgbClr val="FFFFFF"/>
        </a:solidFill>
        <a:ln w="12700">
          <a:solidFill>
            <a:srgbClr val="808080"/>
          </a:solidFill>
          <a:prstDash val="solid"/>
        </a:ln>
      </c:spPr>
    </c:plotArea>
    <c:legend>
      <c:legendPos val="b"/>
      <c:layout>
        <c:manualLayout>
          <c:xMode val="edge"/>
          <c:yMode val="edge"/>
          <c:x val="0.19977802441731421"/>
          <c:y val="0.95758564437194127"/>
          <c:w val="0.59933407325194132"/>
          <c:h val="3.915171288743882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84" workbookViewId="0"/>
  </sheetViews>
  <sheetProtection password="FFED" content="1" objects="1"/>
  <pageMargins left="0.75" right="0.75" top="1" bottom="1" header="0.5" footer="0.5"/>
  <headerFooter alignWithMargins="0"/>
  <drawing r:id="rId1"/>
</chartsheet>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4" Type="http://schemas.openxmlformats.org/officeDocument/2006/relationships/image" Target="../media/image12.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200025</xdr:colOff>
          <xdr:row>56</xdr:row>
          <xdr:rowOff>209550</xdr:rowOff>
        </xdr:from>
        <xdr:to>
          <xdr:col>11</xdr:col>
          <xdr:colOff>657225</xdr:colOff>
          <xdr:row>60</xdr:row>
          <xdr:rowOff>28575</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54</xdr:row>
          <xdr:rowOff>85725</xdr:rowOff>
        </xdr:from>
        <xdr:to>
          <xdr:col>8</xdr:col>
          <xdr:colOff>485775</xdr:colOff>
          <xdr:row>56</xdr:row>
          <xdr:rowOff>104775</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152400</xdr:colOff>
      <xdr:row>3</xdr:row>
      <xdr:rowOff>0</xdr:rowOff>
    </xdr:from>
    <xdr:to>
      <xdr:col>22</xdr:col>
      <xdr:colOff>381000</xdr:colOff>
      <xdr:row>29</xdr:row>
      <xdr:rowOff>28575</xdr:rowOff>
    </xdr:to>
    <xdr:pic>
      <xdr:nvPicPr>
        <xdr:cNvPr id="1025"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1975" y="600075"/>
          <a:ext cx="8458200" cy="6143625"/>
        </a:xfrm>
        <a:prstGeom prst="rect">
          <a:avLst/>
        </a:prstGeom>
        <a:noFill/>
        <a:ln>
          <a:noFill/>
        </a:ln>
        <a:effectLst/>
        <a:extLst>
          <a:ext uri="{909E8E84-426E-40DD-AFC4-6F175D3DCCD1}">
            <a14:hiddenFill xmlns:a14="http://schemas.microsoft.com/office/drawing/2010/main">
              <a:solidFill>
                <a:srgbClr val="ECD882"/>
              </a:solidFill>
            </a14:hiddenFill>
          </a:ext>
          <a:ext uri="{91240B29-F687-4F45-9708-019B960494DF}">
            <a14:hiddenLine xmlns:a14="http://schemas.microsoft.com/office/drawing/2010/main" w="9525">
              <a:solidFill>
                <a:srgbClr val="40458C"/>
              </a:solidFill>
              <a:miter lim="800000"/>
              <a:headEnd/>
              <a:tailEnd/>
            </a14:hiddenLine>
          </a:ext>
          <a:ext uri="{AF507438-7753-43E0-B8FC-AC1667EBCBE1}">
            <a14:hiddenEffects xmlns:a14="http://schemas.microsoft.com/office/drawing/2010/main">
              <a:effectLst>
                <a:outerShdw dist="35921" dir="2700000" algn="ctr" rotWithShape="0">
                  <a:srgbClr val="B7C1EB"/>
                </a:outerShdw>
              </a:effectLst>
            </a14:hiddenEffects>
          </a:ext>
        </a:extLst>
      </xdr:spPr>
    </xdr:pic>
    <xdr:clientData/>
  </xdr:twoCellAnchor>
  <xdr:twoCellAnchor>
    <xdr:from>
      <xdr:col>10</xdr:col>
      <xdr:colOff>9525</xdr:colOff>
      <xdr:row>29</xdr:row>
      <xdr:rowOff>190500</xdr:rowOff>
    </xdr:from>
    <xdr:to>
      <xdr:col>23</xdr:col>
      <xdr:colOff>238125</xdr:colOff>
      <xdr:row>34</xdr:row>
      <xdr:rowOff>76200</xdr:rowOff>
    </xdr:to>
    <xdr:pic>
      <xdr:nvPicPr>
        <xdr:cNvPr id="1027"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39100" y="6905625"/>
          <a:ext cx="9144000" cy="1076325"/>
        </a:xfrm>
        <a:prstGeom prst="rect">
          <a:avLst/>
        </a:prstGeom>
        <a:noFill/>
        <a:ln>
          <a:noFill/>
        </a:ln>
        <a:effectLst/>
        <a:extLst>
          <a:ext uri="{909E8E84-426E-40DD-AFC4-6F175D3DCCD1}">
            <a14:hiddenFill xmlns:a14="http://schemas.microsoft.com/office/drawing/2010/main">
              <a:solidFill>
                <a:srgbClr val="ECD882"/>
              </a:solidFill>
            </a14:hiddenFill>
          </a:ext>
          <a:ext uri="{91240B29-F687-4F45-9708-019B960494DF}">
            <a14:hiddenLine xmlns:a14="http://schemas.microsoft.com/office/drawing/2010/main" w="9525">
              <a:solidFill>
                <a:srgbClr val="40458C"/>
              </a:solidFill>
              <a:miter lim="800000"/>
              <a:headEnd/>
              <a:tailEnd/>
            </a14:hiddenLine>
          </a:ext>
          <a:ext uri="{AF507438-7753-43E0-B8FC-AC1667EBCBE1}">
            <a14:hiddenEffects xmlns:a14="http://schemas.microsoft.com/office/drawing/2010/main">
              <a:effectLst>
                <a:outerShdw dist="35921" dir="2700000" algn="ctr" rotWithShape="0">
                  <a:srgbClr val="B7C1EB"/>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9</xdr:col>
          <xdr:colOff>704850</xdr:colOff>
          <xdr:row>35</xdr:row>
          <xdr:rowOff>28575</xdr:rowOff>
        </xdr:from>
        <xdr:to>
          <xdr:col>19</xdr:col>
          <xdr:colOff>666750</xdr:colOff>
          <xdr:row>51</xdr:row>
          <xdr:rowOff>104775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40458C"/>
                  </a:solidFill>
                  <a:miter lim="800000"/>
                  <a:headEnd/>
                  <a:tailEnd/>
                </a14:hiddenLine>
              </a:ext>
              <a:ext uri="{AF507438-7753-43E0-B8FC-AC1667EBCBE1}">
                <a14:hiddenEffects>
                  <a:effectLst>
                    <a:outerShdw dist="35921" dir="2700000" algn="ctr" rotWithShape="0">
                      <a:srgbClr val="B7C1EB"/>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3</xdr:col>
      <xdr:colOff>133350</xdr:colOff>
      <xdr:row>0</xdr:row>
      <xdr:rowOff>47625</xdr:rowOff>
    </xdr:from>
    <xdr:to>
      <xdr:col>3</xdr:col>
      <xdr:colOff>1518400</xdr:colOff>
      <xdr:row>4</xdr:row>
      <xdr:rowOff>161924</xdr:rowOff>
    </xdr:to>
    <xdr:sp macro="" textlink="">
      <xdr:nvSpPr>
        <xdr:cNvPr id="2" name="Down Arrow Callout 1"/>
        <xdr:cNvSpPr/>
      </xdr:nvSpPr>
      <xdr:spPr>
        <a:xfrm>
          <a:off x="2190750" y="47625"/>
          <a:ext cx="1385050" cy="914399"/>
        </a:xfrm>
        <a:prstGeom prst="downArrowCallou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lnSpc>
              <a:spcPts val="1200"/>
            </a:lnSpc>
          </a:pPr>
          <a:r>
            <a:rPr lang="en-US" sz="1100" b="1"/>
            <a:t>Step 1</a:t>
          </a:r>
        </a:p>
        <a:p>
          <a:pPr algn="ctr">
            <a:lnSpc>
              <a:spcPts val="1100"/>
            </a:lnSpc>
          </a:pPr>
          <a:r>
            <a:rPr lang="en-US" sz="1100"/>
            <a:t>Enter Mass Values</a:t>
          </a:r>
          <a:r>
            <a:rPr lang="en-US" sz="1100" baseline="0"/>
            <a:t> for</a:t>
          </a:r>
        </a:p>
        <a:p>
          <a:pPr algn="ctr">
            <a:lnSpc>
              <a:spcPts val="1200"/>
            </a:lnSpc>
          </a:pPr>
          <a:r>
            <a:rPr lang="en-US" sz="1100" baseline="0"/>
            <a:t>up to 10 weights</a:t>
          </a:r>
          <a:endParaRPr lang="en-US" sz="1100"/>
        </a:p>
      </xdr:txBody>
    </xdr:sp>
    <xdr:clientData/>
  </xdr:twoCellAnchor>
  <xdr:twoCellAnchor>
    <xdr:from>
      <xdr:col>4</xdr:col>
      <xdr:colOff>114300</xdr:colOff>
      <xdr:row>0</xdr:row>
      <xdr:rowOff>47625</xdr:rowOff>
    </xdr:from>
    <xdr:to>
      <xdr:col>4</xdr:col>
      <xdr:colOff>1499350</xdr:colOff>
      <xdr:row>4</xdr:row>
      <xdr:rowOff>161925</xdr:rowOff>
    </xdr:to>
    <xdr:sp macro="" textlink="">
      <xdr:nvSpPr>
        <xdr:cNvPr id="3" name="Down Arrow Callout 2"/>
        <xdr:cNvSpPr/>
      </xdr:nvSpPr>
      <xdr:spPr>
        <a:xfrm>
          <a:off x="3819525" y="47625"/>
          <a:ext cx="1385050" cy="914400"/>
        </a:xfrm>
        <a:prstGeom prst="downArrowCallou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Step 2</a:t>
          </a:r>
        </a:p>
        <a:p>
          <a:pPr algn="ctr"/>
          <a:r>
            <a:rPr lang="en-US" sz="1100"/>
            <a:t>Enter Densities</a:t>
          </a:r>
          <a:r>
            <a:rPr lang="en-US" sz="1100" baseline="0"/>
            <a:t> for</a:t>
          </a:r>
        </a:p>
        <a:p>
          <a:pPr algn="ctr"/>
          <a:r>
            <a:rPr lang="en-US" sz="1100" baseline="0"/>
            <a:t>the weights</a:t>
          </a:r>
          <a:endParaRPr lang="en-US" sz="1100"/>
        </a:p>
      </xdr:txBody>
    </xdr:sp>
    <xdr:clientData/>
  </xdr:twoCellAnchor>
  <xdr:twoCellAnchor>
    <xdr:from>
      <xdr:col>4</xdr:col>
      <xdr:colOff>104775</xdr:colOff>
      <xdr:row>18</xdr:row>
      <xdr:rowOff>57150</xdr:rowOff>
    </xdr:from>
    <xdr:to>
      <xdr:col>4</xdr:col>
      <xdr:colOff>1506829</xdr:colOff>
      <xdr:row>22</xdr:row>
      <xdr:rowOff>114300</xdr:rowOff>
    </xdr:to>
    <xdr:sp macro="" textlink="">
      <xdr:nvSpPr>
        <xdr:cNvPr id="4" name="Up Arrow Callout 3"/>
        <xdr:cNvSpPr/>
      </xdr:nvSpPr>
      <xdr:spPr>
        <a:xfrm>
          <a:off x="3810000" y="4933950"/>
          <a:ext cx="1402054" cy="866775"/>
        </a:xfrm>
        <a:prstGeom prst="upArrowCallout">
          <a:avLst>
            <a:gd name="adj1" fmla="val 16803"/>
            <a:gd name="adj2" fmla="val 25000"/>
            <a:gd name="adj3" fmla="val 16803"/>
            <a:gd name="adj4" fmla="val 7317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Step</a:t>
          </a:r>
          <a:r>
            <a:rPr lang="en-US" sz="1100" b="1" baseline="0"/>
            <a:t> 3</a:t>
          </a:r>
        </a:p>
        <a:p>
          <a:pPr algn="ctr"/>
          <a:r>
            <a:rPr lang="en-US" sz="1100" baseline="0"/>
            <a:t>Effective Density</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497416</xdr:colOff>
      <xdr:row>4</xdr:row>
      <xdr:rowOff>21166</xdr:rowOff>
    </xdr:from>
    <xdr:to>
      <xdr:col>6</xdr:col>
      <xdr:colOff>2318858</xdr:colOff>
      <xdr:row>5</xdr:row>
      <xdr:rowOff>11640</xdr:rowOff>
    </xdr:to>
    <xdr:sp macro="" textlink="">
      <xdr:nvSpPr>
        <xdr:cNvPr id="2" name="Pentagon 1"/>
        <xdr:cNvSpPr/>
      </xdr:nvSpPr>
      <xdr:spPr>
        <a:xfrm>
          <a:off x="11313583" y="1820333"/>
          <a:ext cx="1821442" cy="233890"/>
        </a:xfrm>
        <a:prstGeom prst="homePlat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t>Equation Components</a:t>
          </a:r>
        </a:p>
      </xdr:txBody>
    </xdr:sp>
    <xdr:clientData/>
  </xdr:twoCellAnchor>
  <xdr:twoCellAnchor>
    <xdr:from>
      <xdr:col>6</xdr:col>
      <xdr:colOff>497417</xdr:colOff>
      <xdr:row>5</xdr:row>
      <xdr:rowOff>31750</xdr:rowOff>
    </xdr:from>
    <xdr:to>
      <xdr:col>6</xdr:col>
      <xdr:colOff>2309016</xdr:colOff>
      <xdr:row>6</xdr:row>
      <xdr:rowOff>22225</xdr:rowOff>
    </xdr:to>
    <xdr:sp macro="" textlink="">
      <xdr:nvSpPr>
        <xdr:cNvPr id="3" name="Pentagon 2"/>
        <xdr:cNvSpPr/>
      </xdr:nvSpPr>
      <xdr:spPr>
        <a:xfrm>
          <a:off x="11313584" y="2074333"/>
          <a:ext cx="1811599" cy="233892"/>
        </a:xfrm>
        <a:prstGeom prst="homePlat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t>Equation Components</a:t>
          </a:r>
        </a:p>
      </xdr:txBody>
    </xdr:sp>
    <xdr:clientData/>
  </xdr:twoCellAnchor>
  <xdr:twoCellAnchor>
    <xdr:from>
      <xdr:col>6</xdr:col>
      <xdr:colOff>497417</xdr:colOff>
      <xdr:row>6</xdr:row>
      <xdr:rowOff>31750</xdr:rowOff>
    </xdr:from>
    <xdr:to>
      <xdr:col>6</xdr:col>
      <xdr:colOff>2318541</xdr:colOff>
      <xdr:row>7</xdr:row>
      <xdr:rowOff>31750</xdr:rowOff>
    </xdr:to>
    <xdr:sp macro="" textlink="">
      <xdr:nvSpPr>
        <xdr:cNvPr id="4" name="Pentagon 3"/>
        <xdr:cNvSpPr/>
      </xdr:nvSpPr>
      <xdr:spPr>
        <a:xfrm>
          <a:off x="11313584" y="2317750"/>
          <a:ext cx="1821124" cy="243417"/>
        </a:xfrm>
        <a:prstGeom prst="homePlat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t>Equation Components</a:t>
          </a:r>
        </a:p>
      </xdr:txBody>
    </xdr:sp>
    <xdr:clientData/>
  </xdr:twoCellAnchor>
  <xdr:twoCellAnchor>
    <xdr:from>
      <xdr:col>2</xdr:col>
      <xdr:colOff>740833</xdr:colOff>
      <xdr:row>12</xdr:row>
      <xdr:rowOff>63500</xdr:rowOff>
    </xdr:from>
    <xdr:to>
      <xdr:col>2</xdr:col>
      <xdr:colOff>2133325</xdr:colOff>
      <xdr:row>14</xdr:row>
      <xdr:rowOff>295910</xdr:rowOff>
    </xdr:to>
    <xdr:sp macro="" textlink="">
      <xdr:nvSpPr>
        <xdr:cNvPr id="5" name="Up Arrow Callout 4"/>
        <xdr:cNvSpPr/>
      </xdr:nvSpPr>
      <xdr:spPr>
        <a:xfrm>
          <a:off x="3841750" y="4011083"/>
          <a:ext cx="1392492" cy="719244"/>
        </a:xfrm>
        <a:prstGeom prst="upArrowCallout">
          <a:avLst>
            <a:gd name="adj1" fmla="val 16803"/>
            <a:gd name="adj2" fmla="val 25000"/>
            <a:gd name="adj3" fmla="val 16803"/>
            <a:gd name="adj4" fmla="val 73174"/>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Step</a:t>
          </a:r>
          <a:r>
            <a:rPr lang="en-US" sz="1100" b="1" baseline="0"/>
            <a:t> 1</a:t>
          </a:r>
        </a:p>
        <a:p>
          <a:pPr algn="ctr"/>
          <a:r>
            <a:rPr lang="en-US" sz="1100" baseline="0"/>
            <a:t>Enter Pressure</a:t>
          </a:r>
          <a:endParaRPr lang="en-US" sz="1100"/>
        </a:p>
      </xdr:txBody>
    </xdr:sp>
    <xdr:clientData/>
  </xdr:twoCellAnchor>
  <xdr:twoCellAnchor>
    <xdr:from>
      <xdr:col>3</xdr:col>
      <xdr:colOff>338667</xdr:colOff>
      <xdr:row>12</xdr:row>
      <xdr:rowOff>52917</xdr:rowOff>
    </xdr:from>
    <xdr:to>
      <xdr:col>3</xdr:col>
      <xdr:colOff>1731473</xdr:colOff>
      <xdr:row>14</xdr:row>
      <xdr:rowOff>285327</xdr:rowOff>
    </xdr:to>
    <xdr:sp macro="" textlink="">
      <xdr:nvSpPr>
        <xdr:cNvPr id="6" name="Up Arrow Callout 5"/>
        <xdr:cNvSpPr/>
      </xdr:nvSpPr>
      <xdr:spPr>
        <a:xfrm>
          <a:off x="6381750" y="4000500"/>
          <a:ext cx="1392806" cy="719244"/>
        </a:xfrm>
        <a:prstGeom prst="upArrowCallout">
          <a:avLst>
            <a:gd name="adj1" fmla="val 16803"/>
            <a:gd name="adj2" fmla="val 25000"/>
            <a:gd name="adj3" fmla="val 16803"/>
            <a:gd name="adj4" fmla="val 73174"/>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Step</a:t>
          </a:r>
          <a:r>
            <a:rPr lang="en-US" sz="1100" b="1" baseline="0"/>
            <a:t> 2</a:t>
          </a:r>
        </a:p>
        <a:p>
          <a:pPr algn="ctr"/>
          <a:r>
            <a:rPr lang="en-US" sz="1100" baseline="0"/>
            <a:t>Enter Temperature</a:t>
          </a:r>
          <a:endParaRPr lang="en-US" sz="1100"/>
        </a:p>
      </xdr:txBody>
    </xdr:sp>
    <xdr:clientData/>
  </xdr:twoCellAnchor>
  <xdr:twoCellAnchor>
    <xdr:from>
      <xdr:col>4</xdr:col>
      <xdr:colOff>179917</xdr:colOff>
      <xdr:row>12</xdr:row>
      <xdr:rowOff>74084</xdr:rowOff>
    </xdr:from>
    <xdr:to>
      <xdr:col>4</xdr:col>
      <xdr:colOff>1162847</xdr:colOff>
      <xdr:row>14</xdr:row>
      <xdr:rowOff>306494</xdr:rowOff>
    </xdr:to>
    <xdr:sp macro="" textlink="">
      <xdr:nvSpPr>
        <xdr:cNvPr id="7" name="Up Arrow Callout 6"/>
        <xdr:cNvSpPr/>
      </xdr:nvSpPr>
      <xdr:spPr>
        <a:xfrm>
          <a:off x="8307917" y="4021667"/>
          <a:ext cx="982930" cy="719244"/>
        </a:xfrm>
        <a:prstGeom prst="upArrowCallout">
          <a:avLst>
            <a:gd name="adj1" fmla="val 16803"/>
            <a:gd name="adj2" fmla="val 25000"/>
            <a:gd name="adj3" fmla="val 16803"/>
            <a:gd name="adj4" fmla="val 73174"/>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lnSpc>
              <a:spcPts val="1200"/>
            </a:lnSpc>
          </a:pPr>
          <a:r>
            <a:rPr lang="en-US" sz="1100" b="1"/>
            <a:t>Step</a:t>
          </a:r>
          <a:r>
            <a:rPr lang="en-US" sz="1100" b="1" baseline="0"/>
            <a:t> 3</a:t>
          </a:r>
        </a:p>
        <a:p>
          <a:pPr algn="ctr">
            <a:lnSpc>
              <a:spcPts val="1100"/>
            </a:lnSpc>
          </a:pPr>
          <a:r>
            <a:rPr lang="en-US" sz="1100" baseline="0"/>
            <a:t>Enter % Rel Humidity</a:t>
          </a:r>
          <a:endParaRPr lang="en-US" sz="1100"/>
        </a:p>
      </xdr:txBody>
    </xdr:sp>
    <xdr:clientData/>
  </xdr:twoCellAnchor>
  <mc:AlternateContent xmlns:mc="http://schemas.openxmlformats.org/markup-compatibility/2006">
    <mc:Choice xmlns:a14="http://schemas.microsoft.com/office/drawing/2010/main" Requires="a14">
      <xdr:twoCellAnchor>
        <xdr:from>
          <xdr:col>4</xdr:col>
          <xdr:colOff>85725</xdr:colOff>
          <xdr:row>0</xdr:row>
          <xdr:rowOff>361950</xdr:rowOff>
        </xdr:from>
        <xdr:to>
          <xdr:col>4</xdr:col>
          <xdr:colOff>790575</xdr:colOff>
          <xdr:row>1</xdr:row>
          <xdr:rowOff>390525</xdr:rowOff>
        </xdr:to>
        <xdr:sp macro="" textlink="">
          <xdr:nvSpPr>
            <xdr:cNvPr id="31745" name="Object 1" hidden="1">
              <a:extLst>
                <a:ext uri="{63B3BB69-23CF-44E3-9099-C40C66FF867C}">
                  <a14:compatExt spid="_x0000_s317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85725</xdr:colOff>
          <xdr:row>2</xdr:row>
          <xdr:rowOff>9525</xdr:rowOff>
        </xdr:from>
        <xdr:to>
          <xdr:col>4</xdr:col>
          <xdr:colOff>781050</xdr:colOff>
          <xdr:row>5</xdr:row>
          <xdr:rowOff>142875</xdr:rowOff>
        </xdr:to>
        <xdr:sp macro="" textlink="">
          <xdr:nvSpPr>
            <xdr:cNvPr id="31746" name="Object 2" hidden="1">
              <a:extLst>
                <a:ext uri="{63B3BB69-23CF-44E3-9099-C40C66FF867C}">
                  <a14:compatExt spid="_x0000_s317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85725</xdr:colOff>
          <xdr:row>5</xdr:row>
          <xdr:rowOff>200025</xdr:rowOff>
        </xdr:from>
        <xdr:to>
          <xdr:col>4</xdr:col>
          <xdr:colOff>781050</xdr:colOff>
          <xdr:row>8</xdr:row>
          <xdr:rowOff>190500</xdr:rowOff>
        </xdr:to>
        <xdr:sp macro="" textlink="">
          <xdr:nvSpPr>
            <xdr:cNvPr id="31747" name="Object 3" hidden="1">
              <a:extLst>
                <a:ext uri="{63B3BB69-23CF-44E3-9099-C40C66FF867C}">
                  <a14:compatExt spid="_x0000_s317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571500</xdr:colOff>
      <xdr:row>12</xdr:row>
      <xdr:rowOff>47625</xdr:rowOff>
    </xdr:from>
    <xdr:to>
      <xdr:col>4</xdr:col>
      <xdr:colOff>1964306</xdr:colOff>
      <xdr:row>14</xdr:row>
      <xdr:rowOff>260985</xdr:rowOff>
    </xdr:to>
    <xdr:sp macro="" textlink="">
      <xdr:nvSpPr>
        <xdr:cNvPr id="2" name="Up Arrow Callout 1"/>
        <xdr:cNvSpPr/>
      </xdr:nvSpPr>
      <xdr:spPr>
        <a:xfrm>
          <a:off x="7258050" y="4733925"/>
          <a:ext cx="1392806" cy="708660"/>
        </a:xfrm>
        <a:prstGeom prst="upArrowCallout">
          <a:avLst>
            <a:gd name="adj1" fmla="val 16803"/>
            <a:gd name="adj2" fmla="val 25000"/>
            <a:gd name="adj3" fmla="val 16803"/>
            <a:gd name="adj4" fmla="val 73174"/>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Step</a:t>
          </a:r>
          <a:r>
            <a:rPr lang="en-US" sz="1100" b="1" baseline="0"/>
            <a:t> 1</a:t>
          </a:r>
        </a:p>
        <a:p>
          <a:pPr algn="ctr"/>
          <a:r>
            <a:rPr lang="en-US" sz="1100" baseline="0"/>
            <a:t>Enter Temperature</a:t>
          </a:r>
          <a:endParaRPr lang="en-US" sz="1100"/>
        </a:p>
      </xdr:txBody>
    </xdr:sp>
    <xdr:clientData/>
  </xdr:twoCellAnchor>
  <mc:AlternateContent xmlns:mc="http://schemas.openxmlformats.org/markup-compatibility/2006">
    <mc:Choice xmlns:a14="http://schemas.microsoft.com/office/drawing/2010/main" Requires="a14">
      <xdr:twoCellAnchor>
        <xdr:from>
          <xdr:col>5</xdr:col>
          <xdr:colOff>95250</xdr:colOff>
          <xdr:row>1</xdr:row>
          <xdr:rowOff>361950</xdr:rowOff>
        </xdr:from>
        <xdr:to>
          <xdr:col>5</xdr:col>
          <xdr:colOff>638175</xdr:colOff>
          <xdr:row>2</xdr:row>
          <xdr:rowOff>228600</xdr:rowOff>
        </xdr:to>
        <xdr:sp macro="" textlink="">
          <xdr:nvSpPr>
            <xdr:cNvPr id="33793" name="Object 1" hidden="1">
              <a:extLst>
                <a:ext uri="{63B3BB69-23CF-44E3-9099-C40C66FF867C}">
                  <a14:compatExt spid="_x0000_s337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xdr:row>
          <xdr:rowOff>314325</xdr:rowOff>
        </xdr:from>
        <xdr:to>
          <xdr:col>5</xdr:col>
          <xdr:colOff>647700</xdr:colOff>
          <xdr:row>4</xdr:row>
          <xdr:rowOff>38100</xdr:rowOff>
        </xdr:to>
        <xdr:sp macro="" textlink="">
          <xdr:nvSpPr>
            <xdr:cNvPr id="33794" name="Object 2" hidden="1">
              <a:extLst>
                <a:ext uri="{63B3BB69-23CF-44E3-9099-C40C66FF867C}">
                  <a14:compatExt spid="_x0000_s3379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4</xdr:row>
          <xdr:rowOff>123825</xdr:rowOff>
        </xdr:from>
        <xdr:to>
          <xdr:col>5</xdr:col>
          <xdr:colOff>647700</xdr:colOff>
          <xdr:row>5</xdr:row>
          <xdr:rowOff>438150</xdr:rowOff>
        </xdr:to>
        <xdr:sp macro="" textlink="">
          <xdr:nvSpPr>
            <xdr:cNvPr id="33795" name="Object 3" hidden="1">
              <a:extLst>
                <a:ext uri="{63B3BB69-23CF-44E3-9099-C40C66FF867C}">
                  <a14:compatExt spid="_x0000_s3379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114300</xdr:colOff>
          <xdr:row>6</xdr:row>
          <xdr:rowOff>38100</xdr:rowOff>
        </xdr:from>
        <xdr:to>
          <xdr:col>5</xdr:col>
          <xdr:colOff>657225</xdr:colOff>
          <xdr:row>7</xdr:row>
          <xdr:rowOff>390525</xdr:rowOff>
        </xdr:to>
        <xdr:sp macro="" textlink="">
          <xdr:nvSpPr>
            <xdr:cNvPr id="33796" name="Object 4" hidden="1">
              <a:extLst>
                <a:ext uri="{63B3BB69-23CF-44E3-9099-C40C66FF867C}">
                  <a14:compatExt spid="_x0000_s3379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276225</xdr:colOff>
          <xdr:row>56</xdr:row>
          <xdr:rowOff>228600</xdr:rowOff>
        </xdr:from>
        <xdr:to>
          <xdr:col>11</xdr:col>
          <xdr:colOff>733425</xdr:colOff>
          <xdr:row>60</xdr:row>
          <xdr:rowOff>47625</xdr:rowOff>
        </xdr:to>
        <xdr:sp macro="" textlink="">
          <xdr:nvSpPr>
            <xdr:cNvPr id="18438" name="Object 6" hidden="1">
              <a:extLst>
                <a:ext uri="{63B3BB69-23CF-44E3-9099-C40C66FF867C}">
                  <a14:compatExt spid="_x0000_s1843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54</xdr:row>
          <xdr:rowOff>0</xdr:rowOff>
        </xdr:from>
        <xdr:to>
          <xdr:col>8</xdr:col>
          <xdr:colOff>581025</xdr:colOff>
          <xdr:row>56</xdr:row>
          <xdr:rowOff>19050</xdr:rowOff>
        </xdr:to>
        <xdr:sp macro="" textlink="">
          <xdr:nvSpPr>
            <xdr:cNvPr id="18439" name="Object 7" hidden="1">
              <a:extLst>
                <a:ext uri="{63B3BB69-23CF-44E3-9099-C40C66FF867C}">
                  <a14:compatExt spid="_x0000_s1843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276225</xdr:colOff>
          <xdr:row>56</xdr:row>
          <xdr:rowOff>228600</xdr:rowOff>
        </xdr:from>
        <xdr:to>
          <xdr:col>11</xdr:col>
          <xdr:colOff>733425</xdr:colOff>
          <xdr:row>60</xdr:row>
          <xdr:rowOff>47625</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54</xdr:row>
          <xdr:rowOff>0</xdr:rowOff>
        </xdr:from>
        <xdr:to>
          <xdr:col>8</xdr:col>
          <xdr:colOff>581025</xdr:colOff>
          <xdr:row>56</xdr:row>
          <xdr:rowOff>19050</xdr:rowOff>
        </xdr:to>
        <xdr:sp macro="" textlink="">
          <xdr:nvSpPr>
            <xdr:cNvPr id="21506" name="Object 2" hidden="1">
              <a:extLst>
                <a:ext uri="{63B3BB69-23CF-44E3-9099-C40C66FF867C}">
                  <a14:compatExt spid="_x0000_s2150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lh\AppData\Local\Microsoft\Windows\Temporary%20Internet%20Files\Content.Outlook\WRQUQOP0\Volume\Project%20Spreadsheets\SOP%20Calculations\Gravimetric%20Sample%201(Re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Report"/>
      <sheetName val="Data Entry"/>
      <sheetName val="Calculations"/>
      <sheetName val="CIPM Air Density"/>
      <sheetName val="Uncertainty Analysis"/>
      <sheetName val="Standards"/>
      <sheetName val="Tables &amp; Lists"/>
    </sheetNames>
    <sheetDataSet>
      <sheetData sheetId="0" refreshError="1"/>
      <sheetData sheetId="1" refreshError="1"/>
      <sheetData sheetId="2">
        <row r="14">
          <cell r="F14" t="str">
            <v>Reference Temerature (ºF)</v>
          </cell>
          <cell r="I14">
            <v>60</v>
          </cell>
        </row>
        <row r="22">
          <cell r="I22">
            <v>2.3848099999999999</v>
          </cell>
        </row>
        <row r="23">
          <cell r="I23" t="str">
            <v>Option A</v>
          </cell>
        </row>
      </sheetData>
      <sheetData sheetId="3" refreshError="1"/>
      <sheetData sheetId="4" refreshError="1"/>
      <sheetData sheetId="5">
        <row r="141">
          <cell r="B141" t="str">
            <v>Rmean / d*2</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ist.gov/labmetrology"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oleObject" Target="../embeddings/oleObject3.bin"/><Relationship Id="rId7" Type="http://schemas.openxmlformats.org/officeDocument/2006/relationships/oleObject" Target="../embeddings/oleObject5.bin"/><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image" Target="../media/image7.emf"/><Relationship Id="rId5" Type="http://schemas.openxmlformats.org/officeDocument/2006/relationships/oleObject" Target="../embeddings/oleObject4.bin"/><Relationship Id="rId4" Type="http://schemas.openxmlformats.org/officeDocument/2006/relationships/image" Target="../media/image6.emf"/></Relationships>
</file>

<file path=xl/worksheets/_rels/sheet12.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oleObject" Target="../embeddings/oleObject6.bin"/><Relationship Id="rId7" Type="http://schemas.openxmlformats.org/officeDocument/2006/relationships/oleObject" Target="../embeddings/oleObject8.bin"/><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image" Target="../media/image10.emf"/><Relationship Id="rId5" Type="http://schemas.openxmlformats.org/officeDocument/2006/relationships/oleObject" Target="../embeddings/oleObject7.bin"/><Relationship Id="rId10" Type="http://schemas.openxmlformats.org/officeDocument/2006/relationships/image" Target="../media/image12.emf"/><Relationship Id="rId4" Type="http://schemas.openxmlformats.org/officeDocument/2006/relationships/image" Target="../media/image9.emf"/><Relationship Id="rId9" Type="http://schemas.openxmlformats.org/officeDocument/2006/relationships/oleObject" Target="../embeddings/oleObject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7.xml"/><Relationship Id="rId1" Type="http://schemas.openxmlformats.org/officeDocument/2006/relationships/printerSettings" Target="../printerSettings/printerSettings5.bin"/><Relationship Id="rId6" Type="http://schemas.openxmlformats.org/officeDocument/2006/relationships/oleObject" Target="../embeddings/oleObject11.bin"/><Relationship Id="rId5" Type="http://schemas.openxmlformats.org/officeDocument/2006/relationships/image" Target="../media/image1.emf"/><Relationship Id="rId4" Type="http://schemas.openxmlformats.org/officeDocument/2006/relationships/oleObject" Target="../embeddings/oleObject10.bin"/></Relationships>
</file>

<file path=xl/worksheets/_rels/sheet1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6.vml"/><Relationship Id="rId7" Type="http://schemas.openxmlformats.org/officeDocument/2006/relationships/image" Target="../media/image2.emf"/><Relationship Id="rId2" Type="http://schemas.openxmlformats.org/officeDocument/2006/relationships/drawing" Target="../drawings/drawing8.xml"/><Relationship Id="rId1" Type="http://schemas.openxmlformats.org/officeDocument/2006/relationships/printerSettings" Target="../printerSettings/printerSettings6.bin"/><Relationship Id="rId6" Type="http://schemas.openxmlformats.org/officeDocument/2006/relationships/oleObject" Target="../embeddings/oleObject13.bin"/><Relationship Id="rId5" Type="http://schemas.openxmlformats.org/officeDocument/2006/relationships/image" Target="../media/image1.emf"/><Relationship Id="rId4" Type="http://schemas.openxmlformats.org/officeDocument/2006/relationships/oleObject" Target="../embeddings/oleObject12.bin"/></Relationships>
</file>

<file path=xl/worksheets/_rels/sheet7.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Excel_97-2003_Worksheet.xl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7"/>
  <sheetViews>
    <sheetView showGridLines="0" workbookViewId="0">
      <selection activeCell="C1" sqref="C1"/>
    </sheetView>
  </sheetViews>
  <sheetFormatPr defaultRowHeight="15.75"/>
  <cols>
    <col min="1" max="1" width="2" style="1" customWidth="1"/>
    <col min="2" max="2" width="9.875" style="1" bestFit="1" customWidth="1"/>
    <col min="3" max="3" width="101.5" style="1" customWidth="1"/>
    <col min="4" max="16384" width="9" style="1"/>
  </cols>
  <sheetData>
    <row r="2" spans="2:11" ht="18.75">
      <c r="B2" s="40" t="s">
        <v>57</v>
      </c>
      <c r="C2" s="144" t="s">
        <v>159</v>
      </c>
    </row>
    <row r="3" spans="2:11" ht="18.75">
      <c r="B3" s="40"/>
      <c r="C3" s="144"/>
    </row>
    <row r="4" spans="2:11" ht="18.75">
      <c r="B4" s="40"/>
      <c r="C4" s="144"/>
    </row>
    <row r="5" spans="2:11" ht="158.25" customHeight="1">
      <c r="B5" s="73">
        <v>41249</v>
      </c>
      <c r="C5" s="41" t="s">
        <v>112</v>
      </c>
      <c r="D5" s="41"/>
      <c r="E5" s="41"/>
      <c r="F5" s="41"/>
      <c r="G5" s="41"/>
      <c r="H5" s="41"/>
      <c r="I5" s="41"/>
      <c r="J5" s="41"/>
      <c r="K5" s="41"/>
    </row>
    <row r="6" spans="2:11">
      <c r="B6"/>
    </row>
    <row r="7" spans="2:11" ht="56.25" customHeight="1">
      <c r="B7" s="565" t="s">
        <v>111</v>
      </c>
      <c r="C7" s="565"/>
      <c r="D7" s="85"/>
      <c r="E7" s="85"/>
      <c r="F7" s="85"/>
      <c r="G7" s="85"/>
      <c r="H7" s="85"/>
      <c r="I7" s="85"/>
      <c r="J7" s="85"/>
      <c r="K7" s="85"/>
    </row>
  </sheetData>
  <sheetProtection password="FFED" sheet="1" objects="1" scenarios="1" formatCells="0" formatColumns="0" formatRows="0"/>
  <mergeCells count="1">
    <mergeCell ref="B7:C7"/>
  </mergeCells>
  <phoneticPr fontId="14" type="noConversion"/>
  <hyperlinks>
    <hyperlink ref="B7" r:id="rId1" display="http://www.nist.gov/labmetrology"/>
  </hyperlinks>
  <pageMargins left="0.75" right="0.75" top="1" bottom="1" header="0.5" footer="0.5"/>
  <pageSetup scale="88"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9"/>
  </sheetPr>
  <dimension ref="B1:F19"/>
  <sheetViews>
    <sheetView showGridLines="0" workbookViewId="0">
      <selection activeCell="D7" sqref="D7"/>
    </sheetView>
  </sheetViews>
  <sheetFormatPr defaultRowHeight="15.75"/>
  <cols>
    <col min="1" max="3" width="9" style="1"/>
    <col min="4" max="5" width="21.625" style="1" customWidth="1"/>
    <col min="6" max="6" width="25.125" style="1" customWidth="1"/>
    <col min="7" max="16384" width="9" style="1"/>
  </cols>
  <sheetData>
    <row r="1" spans="2:6">
      <c r="B1" s="705" t="s">
        <v>354</v>
      </c>
      <c r="C1" s="193"/>
      <c r="D1" s="193"/>
      <c r="E1" s="193"/>
      <c r="F1" s="193"/>
    </row>
    <row r="2" spans="2:6">
      <c r="B2" s="705"/>
      <c r="C2" s="193"/>
      <c r="D2" s="193"/>
      <c r="E2" s="193"/>
      <c r="F2" s="193"/>
    </row>
    <row r="3" spans="2:6">
      <c r="B3" s="705"/>
      <c r="C3" s="193"/>
      <c r="D3" s="193"/>
      <c r="E3" s="193"/>
      <c r="F3" s="193"/>
    </row>
    <row r="4" spans="2:6">
      <c r="B4" s="705"/>
      <c r="C4" s="193"/>
      <c r="D4" s="193"/>
      <c r="E4" s="193"/>
      <c r="F4" s="193"/>
    </row>
    <row r="5" spans="2:6" ht="16.5" thickBot="1">
      <c r="B5" s="705"/>
      <c r="C5" s="193"/>
      <c r="D5" s="193"/>
      <c r="E5" s="193"/>
      <c r="F5" s="193"/>
    </row>
    <row r="6" spans="2:6" ht="31.5" thickTop="1" thickBot="1">
      <c r="B6" s="705"/>
      <c r="C6" s="193"/>
      <c r="D6" s="194" t="s">
        <v>355</v>
      </c>
      <c r="E6" s="195" t="s">
        <v>356</v>
      </c>
      <c r="F6" s="196" t="s">
        <v>357</v>
      </c>
    </row>
    <row r="7" spans="2:6" ht="16.5" thickTop="1">
      <c r="B7" s="705"/>
      <c r="C7" s="197" t="s">
        <v>358</v>
      </c>
      <c r="D7" s="190"/>
      <c r="E7" s="190"/>
      <c r="F7" s="198" t="str">
        <f>IF(AND(ISNUMBER(D7),ISNUMBER(E7)),D7/E7,"")</f>
        <v/>
      </c>
    </row>
    <row r="8" spans="2:6">
      <c r="B8" s="705"/>
      <c r="C8" s="199" t="s">
        <v>359</v>
      </c>
      <c r="D8" s="191"/>
      <c r="E8" s="191"/>
      <c r="F8" s="200" t="str">
        <f t="shared" ref="F8:F16" si="0">IF(AND(ISNUMBER(D8),ISNUMBER(E8)),D8/E8,"")</f>
        <v/>
      </c>
    </row>
    <row r="9" spans="2:6">
      <c r="B9" s="705"/>
      <c r="C9" s="199" t="s">
        <v>360</v>
      </c>
      <c r="D9" s="191"/>
      <c r="E9" s="191"/>
      <c r="F9" s="200" t="str">
        <f t="shared" si="0"/>
        <v/>
      </c>
    </row>
    <row r="10" spans="2:6">
      <c r="B10" s="705"/>
      <c r="C10" s="199" t="s">
        <v>361</v>
      </c>
      <c r="D10" s="191"/>
      <c r="E10" s="191"/>
      <c r="F10" s="200" t="str">
        <f t="shared" si="0"/>
        <v/>
      </c>
    </row>
    <row r="11" spans="2:6">
      <c r="B11" s="705"/>
      <c r="C11" s="199" t="s">
        <v>362</v>
      </c>
      <c r="D11" s="191"/>
      <c r="E11" s="191"/>
      <c r="F11" s="200" t="str">
        <f t="shared" si="0"/>
        <v/>
      </c>
    </row>
    <row r="12" spans="2:6">
      <c r="B12" s="705"/>
      <c r="C12" s="199" t="s">
        <v>363</v>
      </c>
      <c r="D12" s="191"/>
      <c r="E12" s="191"/>
      <c r="F12" s="200" t="str">
        <f t="shared" si="0"/>
        <v/>
      </c>
    </row>
    <row r="13" spans="2:6">
      <c r="B13" s="705"/>
      <c r="C13" s="199" t="s">
        <v>364</v>
      </c>
      <c r="D13" s="191"/>
      <c r="E13" s="191"/>
      <c r="F13" s="200" t="str">
        <f t="shared" si="0"/>
        <v/>
      </c>
    </row>
    <row r="14" spans="2:6">
      <c r="B14" s="705"/>
      <c r="C14" s="199" t="s">
        <v>365</v>
      </c>
      <c r="D14" s="191"/>
      <c r="E14" s="191"/>
      <c r="F14" s="200" t="str">
        <f t="shared" si="0"/>
        <v/>
      </c>
    </row>
    <row r="15" spans="2:6">
      <c r="B15" s="705"/>
      <c r="C15" s="199" t="s">
        <v>366</v>
      </c>
      <c r="D15" s="191"/>
      <c r="E15" s="191"/>
      <c r="F15" s="200" t="str">
        <f t="shared" si="0"/>
        <v/>
      </c>
    </row>
    <row r="16" spans="2:6" ht="16.5" thickBot="1">
      <c r="B16" s="705"/>
      <c r="C16" s="201" t="s">
        <v>367</v>
      </c>
      <c r="D16" s="192"/>
      <c r="E16" s="192"/>
      <c r="F16" s="160" t="str">
        <f t="shared" si="0"/>
        <v/>
      </c>
    </row>
    <row r="17" spans="2:6" ht="48" thickTop="1">
      <c r="B17" s="705"/>
      <c r="C17" s="193"/>
      <c r="D17" s="202" t="s">
        <v>368</v>
      </c>
      <c r="E17" s="203" t="s">
        <v>369</v>
      </c>
      <c r="F17" s="204" t="s">
        <v>370</v>
      </c>
    </row>
    <row r="18" spans="2:6" ht="19.5" thickBot="1">
      <c r="B18" s="705"/>
      <c r="C18" s="193"/>
      <c r="D18" s="205">
        <f>SUM(D7:D16)</f>
        <v>0</v>
      </c>
      <c r="E18" s="206" t="str">
        <f>IF(ISNUMBER(F7),D18/F18,"")</f>
        <v/>
      </c>
      <c r="F18" s="209">
        <f>SUM(F7:F16)</f>
        <v>0</v>
      </c>
    </row>
    <row r="19" spans="2:6" ht="16.5" thickTop="1">
      <c r="B19" s="193"/>
      <c r="C19" s="193"/>
      <c r="D19" s="193"/>
      <c r="E19" s="193"/>
      <c r="F19" s="193"/>
    </row>
  </sheetData>
  <sheetProtection password="FFED" sheet="1" objects="1" scenarios="1" formatCells="0" formatColumns="0" formatRows="0"/>
  <mergeCells count="1">
    <mergeCell ref="B1:B1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9"/>
  </sheetPr>
  <dimension ref="A1:V32"/>
  <sheetViews>
    <sheetView zoomScale="90" zoomScaleNormal="90" workbookViewId="0">
      <selection activeCell="C11" sqref="C11"/>
    </sheetView>
  </sheetViews>
  <sheetFormatPr defaultRowHeight="15.75"/>
  <cols>
    <col min="1" max="1" width="23.75" style="1" customWidth="1"/>
    <col min="2" max="2" width="16.875" style="1" customWidth="1"/>
    <col min="3" max="3" width="38.625" style="1" customWidth="1"/>
    <col min="4" max="4" width="27.375" style="1" customWidth="1"/>
    <col min="5" max="6" width="17.625" style="1" customWidth="1"/>
    <col min="7" max="7" width="30.75" style="1" customWidth="1"/>
    <col min="8" max="8" width="9.75" style="1" customWidth="1"/>
    <col min="9" max="9" width="10.25" style="1" customWidth="1"/>
    <col min="10" max="10" width="17.5" style="1" customWidth="1"/>
    <col min="11" max="11" width="18.25" style="1" customWidth="1"/>
    <col min="12" max="18" width="17.5" style="1" customWidth="1"/>
    <col min="19" max="19" width="17.375" style="1" customWidth="1"/>
    <col min="20" max="22" width="17.5" style="1" customWidth="1"/>
    <col min="23" max="16384" width="9" style="1"/>
  </cols>
  <sheetData>
    <row r="1" spans="1:22" ht="66.75" customHeight="1" thickTop="1" thickBot="1">
      <c r="A1" s="214" t="s">
        <v>373</v>
      </c>
      <c r="B1" s="215" t="s">
        <v>374</v>
      </c>
      <c r="C1" s="216" t="s">
        <v>375</v>
      </c>
      <c r="D1" s="213" t="s">
        <v>376</v>
      </c>
    </row>
    <row r="2" spans="1:22" ht="34.5" customHeight="1" thickTop="1">
      <c r="A2" s="217" t="s">
        <v>377</v>
      </c>
      <c r="B2" s="246" t="e">
        <f>(MAX(ABS(1.14-D7),ABS(1.15-D7)))*1000</f>
        <v>#DIV/0!</v>
      </c>
      <c r="C2" s="218" t="s">
        <v>378</v>
      </c>
      <c r="D2" s="219" t="s">
        <v>379</v>
      </c>
    </row>
    <row r="3" spans="1:22" ht="21.75" customHeight="1">
      <c r="A3" s="210" t="s">
        <v>380</v>
      </c>
      <c r="B3" s="220" t="e">
        <f>(D3-$D$7)*1000</f>
        <v>#DIV/0!</v>
      </c>
      <c r="C3" s="211" t="s">
        <v>381</v>
      </c>
      <c r="D3" s="212">
        <f>((0.464554*$C$11)-($E$11*(($D$11*0.00252)-0.020582)))/($D$11+273.16)</f>
        <v>0</v>
      </c>
      <c r="H3" s="226" t="s">
        <v>389</v>
      </c>
      <c r="I3" s="226" t="s">
        <v>390</v>
      </c>
      <c r="J3" s="226" t="s">
        <v>391</v>
      </c>
      <c r="K3" s="226" t="s">
        <v>10</v>
      </c>
      <c r="L3" s="226" t="s">
        <v>392</v>
      </c>
      <c r="M3" s="227" t="s">
        <v>393</v>
      </c>
      <c r="N3" s="225"/>
      <c r="O3" s="225"/>
      <c r="P3" s="225"/>
      <c r="Q3" s="225"/>
      <c r="R3" s="225"/>
      <c r="S3" s="225"/>
      <c r="T3" s="225"/>
      <c r="U3" s="225"/>
      <c r="V3" s="225"/>
    </row>
    <row r="4" spans="1:22" ht="18.75" customHeight="1">
      <c r="A4" s="210" t="s">
        <v>382</v>
      </c>
      <c r="B4" s="220" t="e">
        <f>(D4-$D$7)*1000</f>
        <v>#DIV/0!</v>
      </c>
      <c r="C4" s="211" t="s">
        <v>383</v>
      </c>
      <c r="D4" s="212">
        <f>(0.4646/($D$11+273.15))*($C$11-(0.003796*$E$11*(1314600000)*EXP(-5315.56/($D$11+273.15))))</f>
        <v>0</v>
      </c>
      <c r="H4" s="226" t="s">
        <v>394</v>
      </c>
      <c r="I4" s="226" t="s">
        <v>395</v>
      </c>
      <c r="J4" s="226" t="s">
        <v>396</v>
      </c>
      <c r="K4" s="228" t="s">
        <v>397</v>
      </c>
      <c r="L4" s="225"/>
      <c r="M4" s="225"/>
      <c r="N4" s="227" t="s">
        <v>398</v>
      </c>
      <c r="O4" s="227" t="s">
        <v>399</v>
      </c>
      <c r="P4" s="227" t="s">
        <v>400</v>
      </c>
      <c r="Q4" s="227" t="s">
        <v>401</v>
      </c>
      <c r="R4" s="227" t="s">
        <v>402</v>
      </c>
      <c r="S4" s="227" t="s">
        <v>403</v>
      </c>
      <c r="T4" s="227" t="s">
        <v>404</v>
      </c>
      <c r="U4" s="227" t="s">
        <v>371</v>
      </c>
      <c r="V4" s="227" t="s">
        <v>405</v>
      </c>
    </row>
    <row r="5" spans="1:22" ht="18.75" customHeight="1">
      <c r="A5" s="210" t="s">
        <v>384</v>
      </c>
      <c r="B5" s="220" t="e">
        <f>(D5-$D$7)*1000</f>
        <v>#DIV/0!</v>
      </c>
      <c r="C5" s="211" t="s">
        <v>385</v>
      </c>
      <c r="D5" s="212" t="e">
        <f>((1-0.378*L5)*(K5/(M5*I5*J5))*H5)/1000</f>
        <v>#DIV/0!</v>
      </c>
      <c r="H5" s="227">
        <v>28.9635</v>
      </c>
      <c r="I5" s="227">
        <v>8.3144100000000005</v>
      </c>
      <c r="J5" s="162">
        <f>D11+273.15</f>
        <v>273.14999999999998</v>
      </c>
      <c r="K5" s="244">
        <f>C11/760*101325</f>
        <v>0</v>
      </c>
      <c r="L5" s="304" t="e">
        <f>($E$11/100)*((1.00062)+(0.0000000314*K5)+(0.00000056*($D$11^2)))*((1*EXP((0.000012811805*J5^2)+(-0.019509874*J5)+(34.04926034)+(-6353.6311/J5)))/K5)</f>
        <v>#DIV/0!</v>
      </c>
      <c r="M5" s="303" t="e">
        <f>(1)-((K5/J5)*((N5+O5*$D$11+P5*$D$11^2)+((Q5+R5*$D$11)*L5)+(S5+T5*$D$11)*L5^2))+((K5^2/J5^2)*(U5+V5*L5^2))</f>
        <v>#DIV/0!</v>
      </c>
      <c r="N5" s="230">
        <v>1.62419E-6</v>
      </c>
      <c r="O5" s="230">
        <v>-2.8969E-8</v>
      </c>
      <c r="P5" s="230">
        <v>1.088E-10</v>
      </c>
      <c r="Q5" s="230">
        <v>5.7570000000000001E-6</v>
      </c>
      <c r="R5" s="230">
        <v>-2.5889999999999999E-8</v>
      </c>
      <c r="S5" s="230">
        <v>1.9296999999999999E-4</v>
      </c>
      <c r="T5" s="230">
        <v>-2.2850000000000001E-6</v>
      </c>
      <c r="U5" s="230">
        <v>1.7300000000000001E-11</v>
      </c>
      <c r="V5" s="230">
        <v>-1.034E-8</v>
      </c>
    </row>
    <row r="6" spans="1:22" ht="18.75" customHeight="1">
      <c r="A6" s="210" t="s">
        <v>384</v>
      </c>
      <c r="B6" s="220" t="e">
        <f>(D6-$D$7)*1000</f>
        <v>#DIV/0!</v>
      </c>
      <c r="C6" s="211" t="s">
        <v>386</v>
      </c>
      <c r="D6" s="212" t="e">
        <f>((1-0.378*L6)*(K6/(M6*I6*J6))*H6)/1000</f>
        <v>#DIV/0!</v>
      </c>
      <c r="H6" s="229">
        <v>28.9635</v>
      </c>
      <c r="I6" s="229">
        <v>8.3145100000000003</v>
      </c>
      <c r="J6" s="162">
        <f>D11+273.15</f>
        <v>273.14999999999998</v>
      </c>
      <c r="K6" s="244">
        <f>C11/760*101325</f>
        <v>0</v>
      </c>
      <c r="L6" s="304" t="e">
        <f>($E$11/100)*((1.00062)+(0.0000000314*K6)+(0.00000056*($D$11^2)))*((1*EXP((0.000012378847*J6^2)+(-0.019121316*J6)+(33.93711047)+(-6343.1645/J6)))/K6)</f>
        <v>#DIV/0!</v>
      </c>
      <c r="M6" s="303" t="e">
        <f>(1)-((K6/J6)*((N6+O6*$D$11+P6*$D$11^2)+((Q6+R6*$D$11)*L6)+(S6+T6*$D$11)*L6^2))+((K6^2/J6^2)*(U6+V6*L6^2))</f>
        <v>#DIV/0!</v>
      </c>
      <c r="N6" s="230">
        <v>1.58123E-6</v>
      </c>
      <c r="O6" s="230">
        <v>-2.9331E-8</v>
      </c>
      <c r="P6" s="230">
        <v>1.1043E-10</v>
      </c>
      <c r="Q6" s="230">
        <v>5.7069999999999997E-6</v>
      </c>
      <c r="R6" s="230">
        <v>-2.051E-8</v>
      </c>
      <c r="S6" s="230">
        <v>1.9898E-4</v>
      </c>
      <c r="T6" s="230">
        <v>-2.3760000000000002E-6</v>
      </c>
      <c r="U6" s="230">
        <v>1.8300000000000001E-11</v>
      </c>
      <c r="V6" s="230">
        <v>-7.6500000000000007E-9</v>
      </c>
    </row>
    <row r="7" spans="1:22" ht="18.75" customHeight="1" thickBot="1">
      <c r="A7" s="247" t="e">
        <f>""&amp;TEXT(((0.0022%*D7)*1000),"0.000")&amp;""</f>
        <v>#DIV/0!</v>
      </c>
      <c r="B7" s="221">
        <v>0</v>
      </c>
      <c r="C7" s="222" t="s">
        <v>387</v>
      </c>
      <c r="D7" s="302" t="e">
        <f>((1-0.378*L7)*(K7/(M7*I7*J7))*H7)/1000</f>
        <v>#DIV/0!</v>
      </c>
      <c r="H7" s="229">
        <v>28.96546</v>
      </c>
      <c r="I7" s="229">
        <v>8.3144720000000003</v>
      </c>
      <c r="J7" s="162">
        <f>D11+273.15</f>
        <v>273.14999999999998</v>
      </c>
      <c r="K7" s="244">
        <f>C11/760*101325</f>
        <v>0</v>
      </c>
      <c r="L7" s="304" t="e">
        <f>($E$11/100)*((1.00062)+(0.0000000314*K7)+(0.00000056*($D$11^2)))*((1*EXP((0.000012378847*J7^2)+(-0.019121316*J7)+(33.93711047)+(-6343.1645/J7)))/K7)</f>
        <v>#DIV/0!</v>
      </c>
      <c r="M7" s="303" t="e">
        <f>(1)-((K7/J7)*((N7+O7*$D$11+P7*$D$11^2)+((Q7+R7*$D$11)*L7)+(S7+T7*$D$11)*L7^2))+((K7^2/J7^2)*(U7+V7*L7^2))</f>
        <v>#DIV/0!</v>
      </c>
      <c r="N7" s="230">
        <v>1.58123E-6</v>
      </c>
      <c r="O7" s="230">
        <v>-2.9331E-8</v>
      </c>
      <c r="P7" s="230">
        <v>1.1043E-10</v>
      </c>
      <c r="Q7" s="230">
        <v>5.7069999999999997E-6</v>
      </c>
      <c r="R7" s="230">
        <v>-2.051E-8</v>
      </c>
      <c r="S7" s="230">
        <v>1.9898E-4</v>
      </c>
      <c r="T7" s="230">
        <v>-2.3760000000000002E-6</v>
      </c>
      <c r="U7" s="230">
        <v>1.8300000000000001E-11</v>
      </c>
      <c r="V7" s="230">
        <v>-7.6500000000000007E-9</v>
      </c>
    </row>
    <row r="8" spans="1:22" ht="33" customHeight="1" thickTop="1" thickBot="1">
      <c r="A8" s="223"/>
      <c r="B8" s="223"/>
      <c r="C8" s="224" t="s">
        <v>388</v>
      </c>
      <c r="D8" s="245" t="e">
        <f>((((C11*(133.322368421053))*(0.02896546))/((1-(((C11*133.322368421053)/(D11+273.15))*((0.00000158123)+((-0.000000029331)*(D11))+(0.00000000011043*D11^2)+(((0.000005707)+(-0.00000002051*D11))*((E11/100)*((1.00062+0.0000000314*(C11*133.322368421053)+0.00000056*D11^2)*((EXP(0.000012378847*(D11+273.15)^2+(-0.019121316*(D11+273.15))+33.93711047+(-6343.1645/(D11+273.15))))/(C11*133.322368421053)))))+((0.00019898+(-0.000002376*D11))*(((E11/100)*((1.00062+0.0000000314*(C11*133.322368421053)+0.00000056*D11^2)*((EXP(0.000012378847*(D11+273.15)^2+(-0.019121316)*(D11+273.15)+33.93711047+(-6343.1645)/(D11+273.15)))/(C11*133.322368421053))))^2))))+(((C11*133.322368421053)^2/((D11+273.15)^2)*(0.0000000000183+(-0.00000000765*(((E11/100)*((1.00062+0.0000000314*(C11*133.322368421053)+0.00000056*D11^2)*((EXP(0.000012378847*(D11+273.15)^2+(-0.019121316)*(D11+273.15)+33.93711047+(-6343.1645)/(D11+273.15)))/(C11*133.322368421053))))^2))))))*(8.314472)*(D11+273.15)))*(1-((0.378*((E11/100)*((1.00062+0.0000000314*(C11*133.322368421053)+0.00000056*D11^2)*((EXP(0.000012378847*(D11+273.15)^2+(-0.019121316)*(D11+273.15)+33.93711047+(-6343.1645)/(D11+273.15)))/(C11*133.322368421053))))))))</f>
        <v>#DIV/0!</v>
      </c>
    </row>
    <row r="9" spans="1:22" ht="20.25" customHeight="1" thickTop="1" thickBot="1">
      <c r="A9" s="231" t="s">
        <v>407</v>
      </c>
    </row>
    <row r="10" spans="1:22" ht="18.75" customHeight="1" thickTop="1" thickBot="1">
      <c r="A10" s="232">
        <v>20</v>
      </c>
      <c r="B10" s="235"/>
      <c r="C10" s="237" t="s">
        <v>147</v>
      </c>
      <c r="D10" s="238" t="s">
        <v>409</v>
      </c>
      <c r="E10" s="239" t="s">
        <v>410</v>
      </c>
    </row>
    <row r="11" spans="1:22" ht="18.75" customHeight="1" thickTop="1" thickBot="1">
      <c r="A11" s="233">
        <v>760</v>
      </c>
      <c r="B11" s="236" t="s">
        <v>411</v>
      </c>
      <c r="C11" s="242"/>
      <c r="D11" s="241"/>
      <c r="E11" s="243"/>
    </row>
    <row r="12" spans="1:22" ht="20.25" customHeight="1" thickTop="1" thickBot="1">
      <c r="A12" s="234">
        <v>42</v>
      </c>
      <c r="B12" s="240" t="s">
        <v>75</v>
      </c>
      <c r="C12" s="242"/>
      <c r="D12" s="241"/>
      <c r="E12" s="243"/>
    </row>
    <row r="13" spans="1:22" ht="18.75" customHeight="1" thickTop="1">
      <c r="A13" s="706" t="s">
        <v>408</v>
      </c>
    </row>
    <row r="14" spans="1:22" ht="18.75" customHeight="1">
      <c r="A14" s="707"/>
      <c r="K14" s="208" t="s">
        <v>406</v>
      </c>
    </row>
    <row r="15" spans="1:22" ht="26.25" customHeight="1" thickBot="1">
      <c r="A15" s="708"/>
      <c r="J15" s="208" t="s">
        <v>406</v>
      </c>
    </row>
    <row r="16" spans="1:22" ht="18.75" customHeight="1" thickTop="1"/>
    <row r="17" spans="1:8" ht="18.75" customHeight="1" thickBot="1"/>
    <row r="18" spans="1:8" ht="18.75" customHeight="1">
      <c r="A18" s="249"/>
      <c r="B18" s="249"/>
      <c r="C18" s="250" t="s">
        <v>412</v>
      </c>
      <c r="D18" s="251" t="s">
        <v>413</v>
      </c>
      <c r="E18" s="252" t="s">
        <v>414</v>
      </c>
      <c r="F18" s="251" t="s">
        <v>415</v>
      </c>
      <c r="G18" s="249"/>
      <c r="H18" s="248"/>
    </row>
    <row r="19" spans="1:8" ht="18.75" customHeight="1" thickBot="1">
      <c r="A19" s="249"/>
      <c r="B19" s="249"/>
      <c r="C19" s="253">
        <f>C12</f>
        <v>0</v>
      </c>
      <c r="D19" s="254">
        <f>D12</f>
        <v>0</v>
      </c>
      <c r="E19" s="254">
        <f>E12</f>
        <v>0</v>
      </c>
      <c r="F19" s="305" t="e">
        <f>A7/1000</f>
        <v>#DIV/0!</v>
      </c>
      <c r="G19" s="249"/>
      <c r="H19" s="248"/>
    </row>
    <row r="20" spans="1:8" ht="18.75" customHeight="1" thickBot="1">
      <c r="A20" s="255"/>
      <c r="B20" s="256" t="s">
        <v>372</v>
      </c>
      <c r="C20" s="257"/>
      <c r="D20" s="258"/>
      <c r="E20" s="259"/>
      <c r="F20" s="260"/>
      <c r="G20" s="249"/>
      <c r="H20" s="248"/>
    </row>
    <row r="21" spans="1:8" ht="26.25" customHeight="1" thickBot="1">
      <c r="A21" s="261" t="s">
        <v>416</v>
      </c>
      <c r="B21" s="262" t="s">
        <v>46</v>
      </c>
      <c r="C21" s="263"/>
      <c r="D21" s="263"/>
      <c r="E21" s="264"/>
      <c r="F21" s="265"/>
      <c r="G21" s="249"/>
      <c r="H21" s="248"/>
    </row>
    <row r="22" spans="1:8" ht="18.75" customHeight="1">
      <c r="A22" s="266" t="s">
        <v>48</v>
      </c>
      <c r="B22" s="186">
        <f>C11</f>
        <v>0</v>
      </c>
      <c r="C22" s="267">
        <f>B22+C19</f>
        <v>0</v>
      </c>
      <c r="D22" s="268">
        <f>B22</f>
        <v>0</v>
      </c>
      <c r="E22" s="268">
        <f>B22</f>
        <v>0</v>
      </c>
      <c r="F22" s="269">
        <f>B22</f>
        <v>0</v>
      </c>
      <c r="G22" s="249"/>
      <c r="H22" s="248"/>
    </row>
    <row r="23" spans="1:8" ht="18.75" customHeight="1">
      <c r="A23" s="270" t="s">
        <v>417</v>
      </c>
      <c r="B23" s="207">
        <f>D11</f>
        <v>0</v>
      </c>
      <c r="C23" s="271">
        <f>B23</f>
        <v>0</v>
      </c>
      <c r="D23" s="272">
        <f>B23+D19</f>
        <v>0</v>
      </c>
      <c r="E23" s="273">
        <f>B23</f>
        <v>0</v>
      </c>
      <c r="F23" s="274">
        <f>B23</f>
        <v>0</v>
      </c>
      <c r="G23" s="249"/>
      <c r="H23" s="248"/>
    </row>
    <row r="24" spans="1:8" ht="18.75" customHeight="1">
      <c r="A24" s="275" t="s">
        <v>418</v>
      </c>
      <c r="B24" s="159">
        <f>E11</f>
        <v>0</v>
      </c>
      <c r="C24" s="276">
        <f>B24</f>
        <v>0</v>
      </c>
      <c r="D24" s="277">
        <f>B24</f>
        <v>0</v>
      </c>
      <c r="E24" s="272">
        <f>B24+E19</f>
        <v>0</v>
      </c>
      <c r="F24" s="274">
        <f>B24</f>
        <v>0</v>
      </c>
      <c r="G24" s="249"/>
      <c r="H24" s="248"/>
    </row>
    <row r="25" spans="1:8" ht="18.75" customHeight="1" thickBot="1">
      <c r="A25" s="278" t="s">
        <v>419</v>
      </c>
      <c r="B25" s="309">
        <v>0</v>
      </c>
      <c r="C25" s="276">
        <f>B25</f>
        <v>0</v>
      </c>
      <c r="D25" s="277">
        <f>B25</f>
        <v>0</v>
      </c>
      <c r="E25" s="277">
        <f>B25</f>
        <v>0</v>
      </c>
      <c r="F25" s="279" t="e">
        <f>B25+F19</f>
        <v>#DIV/0!</v>
      </c>
      <c r="G25" s="249"/>
      <c r="H25" s="248"/>
    </row>
    <row r="26" spans="1:8" ht="18.75" customHeight="1" thickBot="1">
      <c r="A26" s="280" t="s">
        <v>420</v>
      </c>
      <c r="B26" s="306" t="e">
        <f>B25+((((B22*(133.322368421053))*(0.02896546))/((1-(((B22*133.322368421053)/(B23+273.15))*((0.00000158123)+((-0.000000029331)*(B23))+(0.00000000011043*B23^2)+(((0.000005707)+(-0.00000002051*B23))*((B24/100)*((1.00062+0.0000000314*(B22*133.322368421053)+0.00000056*B23^2)*((EXP(0.000012378847*(B23+273.15)^2+(-0.019121316*(B23+273.15))+33.93711047+(-6343.1645/(B23+273.15))))/(B22*133.322368421053)))))+((0.00019898+(-0.000002376*B23))*(((B24/100)*((1.00062+0.0000000314*(B22*133.322368421053)+0.00000056*B23^2)*((EXP(0.000012378847*(B23+273.15)^2+(-0.019121316)*(B23+273.15)+33.93711047+(-6343.1645)/(B23+273.15)))/(B22*133.322368421053))))^2))))+(((B22*133.322368421053)^2/((B23+273.15)^2)*(0.0000000000183+(-0.00000000765*(((B24/100)*((1.00062+0.0000000314*(B22*133.322368421053)+0.00000056*B23^2)*((EXP(0.000012378847*(B23+273.15)^2+(-0.019121316)*(B23+273.15)+33.93711047+(-6343.1645)/(B23+273.15)))/(B22*133.322368421053))))^2))))))*(8.314472)*(B23+273.15)))*(1-((0.378*((B24/100)*((1.00062+0.0000000314*(B22*133.322368421053)+0.00000056*B23^2)*((EXP(0.000012378847*(B23+273.15)^2+(-0.019121316)*(B23+273.15)+33.93711047+(-6343.1645)/(B23+273.15)))/(B22*133.322368421053))))))))</f>
        <v>#DIV/0!</v>
      </c>
      <c r="C26" s="307" t="e">
        <f>C25+((((C22*(133.322368421053))*(0.02896546))/((1-(((C22*133.322368421053)/(C23+273.15))*((0.00000158123)+((-0.000000029331)*(C23))+(0.00000000011043*C23^2)+(((0.000005707)+(-0.00000002051*C23))*((C24/100)*((1.00062+0.0000000314*(C22*133.322368421053)+0.00000056*C23^2)*((EXP(0.000012378847*(C23+273.15)^2+(-0.019121316*(C23+273.15))+33.93711047+(-6343.1645/(C23+273.15))))/(C22*133.322368421053)))))+((0.00019898+(-0.000002376*C23))*(((C24/100)*((1.00062+0.0000000314*(C22*133.322368421053)+0.00000056*C23^2)*((EXP(0.000012378847*(C23+273.15)^2+(-0.019121316)*(C23+273.15)+33.93711047+(-6343.1645)/(C23+273.15)))/(C22*133.322368421053))))^2))))+(((C22*133.322368421053)^2/((C23+273.15)^2)*(0.0000000000183+(-0.00000000765*(((C24/100)*((1.00062+0.0000000314*(C22*133.322368421053)+0.00000056*C23^2)*((EXP(0.000012378847*(C23+273.15)^2+(-0.019121316)*(C23+273.15)+33.93711047+(-6343.1645)/(C23+273.15)))/(C22*133.322368421053))))^2))))))*(8.314472)*(C23+273.15)))*(1-((0.378*((C24/100)*((1.00062+0.0000000314*(C22*133.322368421053)+0.00000056*C23^2)*((EXP(0.000012378847*(C23+273.15)^2+(-0.019121316)*(C23+273.15)+33.93711047+(-6343.1645)/(C23+273.15)))/(C22*133.322368421053))))))))</f>
        <v>#DIV/0!</v>
      </c>
      <c r="D26" s="307" t="e">
        <f>D25+((((D22*(133.322368421053))*(0.02896546))/((1-(((D22*133.322368421053)/(D23+273.15))*((0.00000158123)+((-0.000000029331)*(D23))+(0.00000000011043*D23^2)+(((0.000005707)+(-0.00000002051*D23))*((D24/100)*((1.00062+0.0000000314*(D22*133.322368421053)+0.00000056*D23^2)*((EXP(0.000012378847*(D23+273.15)^2+(-0.019121316*(D23+273.15))+33.93711047+(-6343.1645/(D23+273.15))))/(D22*133.322368421053)))))+((0.00019898+(-0.000002376*D23))*(((D24/100)*((1.00062+0.0000000314*(D22*133.322368421053)+0.00000056*D23^2)*((EXP(0.000012378847*(D23+273.15)^2+(-0.019121316)*(D23+273.15)+33.93711047+(-6343.1645)/(D23+273.15)))/(D22*133.322368421053))))^2))))+(((D22*133.322368421053)^2/((D23+273.15)^2)*(0.0000000000183+(-0.00000000765*(((D24/100)*((1.00062+0.0000000314*(D22*133.322368421053)+0.00000056*D23^2)*((EXP(0.000012378847*(D23+273.15)^2+(-0.019121316)*(D23+273.15)+33.93711047+(-6343.1645)/(D23+273.15)))/(D22*133.322368421053))))^2))))))*(8.314472)*(D23+273.15)))*(1-((0.378*((D24/100)*((1.00062+0.0000000314*(D22*133.322368421053)+0.00000056*D23^2)*((EXP(0.000012378847*(D23+273.15)^2+(-0.019121316)*(D23+273.15)+33.93711047+(-6343.1645)/(D23+273.15)))/(D22*133.322368421053))))))))</f>
        <v>#DIV/0!</v>
      </c>
      <c r="E26" s="307" t="e">
        <f>E25+((((E22*(133.322368421053))*(0.02896546))/((1-(((E22*133.322368421053)/(E23+273.15))*((0.00000158123)+((-0.000000029331)*(E23))+(0.00000000011043*E23^2)+(((0.000005707)+(-0.00000002051*E23))*((E24/100)*((1.00062+0.0000000314*(E22*133.322368421053)+0.00000056*E23^2)*((EXP(0.000012378847*(E23+273.15)^2+(-0.019121316*(E23+273.15))+33.93711047+(-6343.1645/(E23+273.15))))/(E22*133.322368421053)))))+((0.00019898+(-0.000002376*E23))*(((E24/100)*((1.00062+0.0000000314*(E22*133.322368421053)+0.00000056*E23^2)*((EXP(0.000012378847*(E23+273.15)^2+(-0.019121316)*(E23+273.15)+33.93711047+(-6343.1645)/(E23+273.15)))/(E22*133.322368421053))))^2))))+(((E22*133.322368421053)^2/((E23+273.15)^2)*(0.0000000000183+(-0.00000000765*(((E24/100)*((1.00062+0.0000000314*(E22*133.322368421053)+0.00000056*E23^2)*((EXP(0.000012378847*(E23+273.15)^2+(-0.019121316)*(E23+273.15)+33.93711047+(-6343.1645)/(E23+273.15)))/(E22*133.322368421053))))^2))))))*(8.314472)*(E23+273.15)))*(1-((0.378*((E24/100)*((1.00062+0.0000000314*(E22*133.322368421053)+0.00000056*E23^2)*((EXP(0.000012378847*(E23+273.15)^2+(-0.019121316)*(E23+273.15)+33.93711047+(-6343.1645)/(E23+273.15)))/(E22*133.322368421053))))))))</f>
        <v>#DIV/0!</v>
      </c>
      <c r="F26" s="307" t="e">
        <f>F25+((((F22*(133.322368421053))*(0.02896546))/((1-(((F22*133.322368421053)/(F23+273.15))*((0.00000158123)+((-0.000000029331)*(F23))+(0.00000000011043*F23^2)+(((0.000005707)+(-0.00000002051*F23))*((F24/100)*((1.00062+0.0000000314*(F22*133.322368421053)+0.00000056*F23^2)*((EXP(0.000012378847*(F23+273.15)^2+(-0.019121316*(F23+273.15))+33.93711047+(-6343.1645/(F23+273.15))))/(F22*133.322368421053)))))+((0.00019898+(-0.000002376*F23))*(((F24/100)*((1.00062+0.0000000314*(F22*133.322368421053)+0.00000056*F23^2)*((EXP(0.000012378847*(F23+273.15)^2+(-0.019121316)*(F23+273.15)+33.93711047+(-6343.1645)/(F23+273.15)))/(F22*133.322368421053))))^2))))+(((F22*133.322368421053)^2/((F23+273.15)^2)*(0.0000000000183+(-0.00000000765*(((F24/100)*((1.00062+0.0000000314*(F22*133.322368421053)+0.00000056*F23^2)*((EXP(0.000012378847*(F23+273.15)^2+(-0.019121316)*(F23+273.15)+33.93711047+(-6343.1645)/(F23+273.15)))/(F22*133.322368421053))))^2))))))*(8.314472)*(F23+273.15)))*(1-((0.378*((F24/100)*((1.00062+0.0000000314*(F22*133.322368421053)+0.00000056*F23^2)*((EXP(0.000012378847*(F23+273.15)^2+(-0.019121316)*(F23+273.15)+33.93711047+(-6343.1645)/(F23+273.15)))/(F22*133.322368421053))))))))</f>
        <v>#DIV/0!</v>
      </c>
      <c r="G26" s="249"/>
      <c r="H26" s="248"/>
    </row>
    <row r="27" spans="1:8" ht="18.75" customHeight="1" thickBot="1">
      <c r="A27" s="281"/>
      <c r="B27" s="282"/>
      <c r="C27" s="283" t="e">
        <f>C26-B26</f>
        <v>#DIV/0!</v>
      </c>
      <c r="D27" s="284" t="e">
        <f>D26-B26</f>
        <v>#DIV/0!</v>
      </c>
      <c r="E27" s="284" t="e">
        <f>E26-B26</f>
        <v>#DIV/0!</v>
      </c>
      <c r="F27" s="284" t="e">
        <f>F26-B26</f>
        <v>#DIV/0!</v>
      </c>
      <c r="G27" s="285" t="s">
        <v>421</v>
      </c>
      <c r="H27" s="248"/>
    </row>
    <row r="28" spans="1:8" ht="18.75" customHeight="1" thickBot="1">
      <c r="A28" s="286" t="s">
        <v>422</v>
      </c>
      <c r="B28" s="308" t="e">
        <f>SQRT(SUM(C28:F28))</f>
        <v>#DIV/0!</v>
      </c>
      <c r="C28" s="161" t="e">
        <f>C27^2</f>
        <v>#DIV/0!</v>
      </c>
      <c r="D28" s="310" t="e">
        <f>D27^2</f>
        <v>#DIV/0!</v>
      </c>
      <c r="E28" s="310" t="e">
        <f>E27^2</f>
        <v>#DIV/0!</v>
      </c>
      <c r="F28" s="311" t="e">
        <f>F27^2</f>
        <v>#DIV/0!</v>
      </c>
      <c r="G28" s="287" t="s">
        <v>423</v>
      </c>
      <c r="H28" s="248"/>
    </row>
    <row r="29" spans="1:8" ht="18.75" customHeight="1" thickBot="1">
      <c r="A29" s="288" t="s">
        <v>372</v>
      </c>
      <c r="B29" s="289" t="e">
        <v>#DIV/0!</v>
      </c>
      <c r="C29" s="290" t="e">
        <f>C28/B28^2</f>
        <v>#DIV/0!</v>
      </c>
      <c r="D29" s="291" t="e">
        <f>D28/B28^2</f>
        <v>#DIV/0!</v>
      </c>
      <c r="E29" s="291" t="e">
        <f>E28/B28^2</f>
        <v>#DIV/0!</v>
      </c>
      <c r="F29" s="291" t="e">
        <f>F28/B28^2</f>
        <v>#DIV/0!</v>
      </c>
      <c r="G29" s="292" t="s">
        <v>424</v>
      </c>
      <c r="H29" s="293" t="e">
        <f>SUM(C29:F29)</f>
        <v>#DIV/0!</v>
      </c>
    </row>
    <row r="30" spans="1:8" ht="18.75" customHeight="1" thickBot="1">
      <c r="A30" s="286" t="s">
        <v>425</v>
      </c>
      <c r="B30" s="294">
        <v>2</v>
      </c>
      <c r="C30" s="295" t="e">
        <f>C27/C19</f>
        <v>#DIV/0!</v>
      </c>
      <c r="D30" s="296" t="e">
        <f>D27/D19</f>
        <v>#DIV/0!</v>
      </c>
      <c r="E30" s="296" t="e">
        <f>E27/E19</f>
        <v>#DIV/0!</v>
      </c>
      <c r="F30" s="297" t="e">
        <f>F27/F19</f>
        <v>#DIV/0!</v>
      </c>
      <c r="G30" s="298" t="s">
        <v>426</v>
      </c>
      <c r="H30" s="299" t="s">
        <v>427</v>
      </c>
    </row>
    <row r="31" spans="1:8" ht="18.75" customHeight="1" thickBot="1">
      <c r="A31" s="286" t="s">
        <v>428</v>
      </c>
      <c r="B31" s="308" t="e">
        <f>B30*B28</f>
        <v>#DIV/0!</v>
      </c>
      <c r="C31" s="300"/>
      <c r="D31" s="300" t="e">
        <f>B31/B26</f>
        <v>#DIV/0!</v>
      </c>
      <c r="E31" s="301" t="s">
        <v>429</v>
      </c>
      <c r="F31" s="249"/>
      <c r="G31" s="249"/>
      <c r="H31" s="248"/>
    </row>
    <row r="32" spans="1:8" ht="18.75" customHeight="1"/>
  </sheetData>
  <sheetProtection password="FFED" sheet="1" objects="1" scenarios="1" formatCells="0" formatColumns="0" formatRows="0"/>
  <mergeCells count="1">
    <mergeCell ref="A13:A15"/>
  </mergeCells>
  <pageMargins left="0.7" right="0.7" top="0.75" bottom="0.75" header="0.3" footer="0.3"/>
  <drawing r:id="rId1"/>
  <legacyDrawing r:id="rId2"/>
  <oleObjects>
    <mc:AlternateContent xmlns:mc="http://schemas.openxmlformats.org/markup-compatibility/2006">
      <mc:Choice Requires="x14">
        <oleObject progId="AcroExch.Document.7" shapeId="31745" r:id="rId3">
          <objectPr locked="0" defaultSize="0" autoPict="0" r:id="rId4">
            <anchor moveWithCells="1" sizeWithCells="1">
              <from>
                <xdr:col>4</xdr:col>
                <xdr:colOff>85725</xdr:colOff>
                <xdr:row>0</xdr:row>
                <xdr:rowOff>361950</xdr:rowOff>
              </from>
              <to>
                <xdr:col>4</xdr:col>
                <xdr:colOff>790575</xdr:colOff>
                <xdr:row>1</xdr:row>
                <xdr:rowOff>390525</xdr:rowOff>
              </to>
            </anchor>
          </objectPr>
        </oleObject>
      </mc:Choice>
      <mc:Fallback>
        <oleObject progId="AcroExch.Document.7" shapeId="31745" r:id="rId3"/>
      </mc:Fallback>
    </mc:AlternateContent>
    <mc:AlternateContent xmlns:mc="http://schemas.openxmlformats.org/markup-compatibility/2006">
      <mc:Choice Requires="x14">
        <oleObject progId="AcroExch.Document.7" shapeId="31746" r:id="rId5">
          <objectPr locked="0" defaultSize="0" autoPict="0" r:id="rId6">
            <anchor moveWithCells="1" sizeWithCells="1">
              <from>
                <xdr:col>4</xdr:col>
                <xdr:colOff>85725</xdr:colOff>
                <xdr:row>2</xdr:row>
                <xdr:rowOff>9525</xdr:rowOff>
              </from>
              <to>
                <xdr:col>4</xdr:col>
                <xdr:colOff>781050</xdr:colOff>
                <xdr:row>5</xdr:row>
                <xdr:rowOff>142875</xdr:rowOff>
              </to>
            </anchor>
          </objectPr>
        </oleObject>
      </mc:Choice>
      <mc:Fallback>
        <oleObject progId="AcroExch.Document.7" shapeId="31746" r:id="rId5"/>
      </mc:Fallback>
    </mc:AlternateContent>
    <mc:AlternateContent xmlns:mc="http://schemas.openxmlformats.org/markup-compatibility/2006">
      <mc:Choice Requires="x14">
        <oleObject progId="AcroExch.Document.7" shapeId="31747" r:id="rId7">
          <objectPr locked="0" defaultSize="0" autoPict="0" r:id="rId8">
            <anchor moveWithCells="1" sizeWithCells="1">
              <from>
                <xdr:col>4</xdr:col>
                <xdr:colOff>85725</xdr:colOff>
                <xdr:row>5</xdr:row>
                <xdr:rowOff>200025</xdr:rowOff>
              </from>
              <to>
                <xdr:col>4</xdr:col>
                <xdr:colOff>781050</xdr:colOff>
                <xdr:row>8</xdr:row>
                <xdr:rowOff>190500</xdr:rowOff>
              </to>
            </anchor>
          </objectPr>
        </oleObject>
      </mc:Choice>
      <mc:Fallback>
        <oleObject progId="AcroExch.Document.7" shapeId="31747" r:id="rId7"/>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9"/>
  </sheetPr>
  <dimension ref="B1:L28"/>
  <sheetViews>
    <sheetView workbookViewId="0">
      <selection activeCell="E11" sqref="E11"/>
    </sheetView>
  </sheetViews>
  <sheetFormatPr defaultRowHeight="15.75"/>
  <cols>
    <col min="1" max="1" width="2" style="1" customWidth="1"/>
    <col min="2" max="2" width="22.5" style="1" customWidth="1"/>
    <col min="3" max="3" width="16.75" style="1" customWidth="1"/>
    <col min="4" max="4" width="46.5" style="1" customWidth="1"/>
    <col min="5" max="5" width="33.125" style="1" customWidth="1"/>
    <col min="6" max="6" width="20.125" style="1" customWidth="1"/>
    <col min="7" max="7" width="13.875" style="1" customWidth="1"/>
    <col min="8" max="8" width="15.25" style="1" customWidth="1"/>
    <col min="9" max="9" width="15" style="1" customWidth="1"/>
    <col min="10" max="10" width="14.875" style="1" customWidth="1"/>
    <col min="11" max="11" width="16.125" style="1" customWidth="1"/>
    <col min="12" max="12" width="15" style="1" customWidth="1"/>
    <col min="13" max="16384" width="9" style="1"/>
  </cols>
  <sheetData>
    <row r="1" spans="2:12" ht="16.5" thickBot="1"/>
    <row r="2" spans="2:12" ht="65.25" customHeight="1" thickTop="1" thickBot="1">
      <c r="B2" s="312" t="s">
        <v>430</v>
      </c>
      <c r="C2" s="313" t="s">
        <v>431</v>
      </c>
      <c r="D2" s="314" t="s">
        <v>375</v>
      </c>
      <c r="E2" s="315" t="s">
        <v>432</v>
      </c>
      <c r="G2" s="334" t="s">
        <v>440</v>
      </c>
      <c r="H2" s="335" t="s">
        <v>441</v>
      </c>
      <c r="I2" s="335" t="s">
        <v>442</v>
      </c>
      <c r="J2" s="335" t="s">
        <v>443</v>
      </c>
      <c r="K2" s="335" t="s">
        <v>444</v>
      </c>
      <c r="L2" s="336" t="s">
        <v>445</v>
      </c>
    </row>
    <row r="3" spans="2:12" ht="46.5" customHeight="1" thickTop="1">
      <c r="B3" s="319"/>
      <c r="C3" s="325"/>
      <c r="D3" s="320" t="s">
        <v>433</v>
      </c>
      <c r="E3" s="317" t="s">
        <v>434</v>
      </c>
      <c r="G3" s="337">
        <v>10</v>
      </c>
      <c r="H3" s="338" t="s">
        <v>446</v>
      </c>
      <c r="I3" s="338">
        <v>0.99969545466400012</v>
      </c>
      <c r="J3" s="330">
        <v>0.99970165883539031</v>
      </c>
      <c r="K3" s="330">
        <v>0.99970270000000006</v>
      </c>
      <c r="L3" s="331">
        <v>0.99969914999999998</v>
      </c>
    </row>
    <row r="4" spans="2:12" ht="30" customHeight="1">
      <c r="B4" s="321">
        <v>10</v>
      </c>
      <c r="C4" s="329">
        <v>3.4821756166314444</v>
      </c>
      <c r="D4" s="322" t="s">
        <v>435</v>
      </c>
      <c r="E4" s="327">
        <f>(999.84847+0.06337563*E11-0.008523829*E11^2+0.00006943248*E11^3-0.0000003821216*E11^4)/1000</f>
        <v>0.99984846999999999</v>
      </c>
      <c r="G4" s="339">
        <v>15</v>
      </c>
      <c r="H4" s="340" t="s">
        <v>447</v>
      </c>
      <c r="I4" s="340">
        <v>0.99909623263900005</v>
      </c>
      <c r="J4" s="333">
        <v>0.99910168371730923</v>
      </c>
      <c r="K4" s="333">
        <v>0.99910257000000002</v>
      </c>
      <c r="L4" s="332">
        <v>0.99909954999999995</v>
      </c>
    </row>
    <row r="5" spans="2:12" ht="30" customHeight="1">
      <c r="B5" s="321">
        <v>1</v>
      </c>
      <c r="C5" s="329">
        <v>1.4407890608358898</v>
      </c>
      <c r="D5" s="322" t="s">
        <v>436</v>
      </c>
      <c r="E5" s="409">
        <f>(999.97358*(1-(0.000000070134*(E11-3.9818)+0.000007926504*(E11-3.9818)^2+-0.00000007575677*(E11-3.9818)^3+0.0000000007314894*(E11-3.9818)^4+-0.000000000003596458*(E11-3.9818)^5)))/1000</f>
        <v>0.99984322008426507</v>
      </c>
      <c r="G5" s="339">
        <v>20</v>
      </c>
      <c r="H5" s="340" t="s">
        <v>448</v>
      </c>
      <c r="I5" s="340">
        <v>0.9982007713840001</v>
      </c>
      <c r="J5" s="333">
        <v>0.99820569434867756</v>
      </c>
      <c r="K5" s="333">
        <v>0.99820675000000003</v>
      </c>
      <c r="L5" s="332">
        <v>0.99820425000000002</v>
      </c>
    </row>
    <row r="6" spans="2:12" ht="37.5" customHeight="1" thickBot="1">
      <c r="B6" s="321">
        <v>0.84</v>
      </c>
      <c r="C6" s="329">
        <v>2.4964403833038773</v>
      </c>
      <c r="D6" s="322" t="s">
        <v>437</v>
      </c>
      <c r="E6" s="327">
        <f>ROUND((999.97495*(1-(((E11-3.983035)^2*(E11+301.797))/(522528.9*(E11+69.34881)))))/1000,8)</f>
        <v>0.99984282999999996</v>
      </c>
      <c r="G6" s="341">
        <v>25</v>
      </c>
      <c r="H6" s="342" t="s">
        <v>449</v>
      </c>
      <c r="I6" s="342">
        <v>0.99704108387500012</v>
      </c>
      <c r="J6" s="343">
        <v>0.99704593995110524</v>
      </c>
      <c r="K6" s="343">
        <v>0.99704702000000001</v>
      </c>
      <c r="L6" s="344">
        <v>0.99704506000000004</v>
      </c>
    </row>
    <row r="7" spans="2:12" ht="31.5" customHeight="1" thickTop="1" thickBot="1">
      <c r="B7" s="323">
        <v>0.84</v>
      </c>
      <c r="C7" s="326">
        <v>0</v>
      </c>
      <c r="D7" s="324" t="s">
        <v>438</v>
      </c>
      <c r="E7" s="328">
        <f>((999.97495*(1-(((E11-3.983035)^2*(E11+301.797))/(522528.9*(E11+69.34881)))))/1000)+((-4.612+0.106*E11))/1000000</f>
        <v>0.99983821362193381</v>
      </c>
    </row>
    <row r="8" spans="2:12" ht="31.5" customHeight="1" thickTop="1" thickBot="1">
      <c r="B8" s="316"/>
      <c r="C8" s="316"/>
      <c r="D8" s="318" t="s">
        <v>439</v>
      </c>
      <c r="E8" s="408">
        <f>((999.97495*(1-(((E11-3.983035)^2*(E11+301.797))/(522528.9*(E11+69.34881)))))/1000)+((-4.612+0.106*E11))/1000000</f>
        <v>0.99983821362193381</v>
      </c>
    </row>
    <row r="9" spans="2:12" ht="20.25" customHeight="1" thickTop="1" thickBot="1"/>
    <row r="10" spans="2:12" ht="20.25" customHeight="1" thickTop="1" thickBot="1">
      <c r="D10" s="345"/>
      <c r="E10" s="346" t="s">
        <v>451</v>
      </c>
    </row>
    <row r="11" spans="2:12" ht="19.5" customHeight="1" thickTop="1" thickBot="1">
      <c r="D11" s="347" t="s">
        <v>411</v>
      </c>
      <c r="E11" s="348"/>
    </row>
    <row r="12" spans="2:12" ht="20.25" customHeight="1" thickTop="1" thickBot="1">
      <c r="D12" s="347" t="s">
        <v>75</v>
      </c>
      <c r="E12" s="348"/>
    </row>
    <row r="13" spans="2:12" ht="19.5" customHeight="1" thickTop="1">
      <c r="B13" s="709" t="s">
        <v>450</v>
      </c>
    </row>
    <row r="14" spans="2:12" ht="19.5" customHeight="1">
      <c r="B14" s="710"/>
    </row>
    <row r="15" spans="2:12" ht="27" customHeight="1" thickBot="1">
      <c r="B15" s="710"/>
    </row>
    <row r="16" spans="2:12" ht="19.5" customHeight="1">
      <c r="B16" s="349"/>
      <c r="C16" s="349"/>
      <c r="D16" s="350" t="s">
        <v>415</v>
      </c>
      <c r="E16" s="351" t="s">
        <v>452</v>
      </c>
      <c r="F16" s="352" t="s">
        <v>453</v>
      </c>
      <c r="G16" s="349"/>
      <c r="H16" s="353"/>
    </row>
    <row r="17" spans="2:8" ht="19.5" customHeight="1" thickBot="1">
      <c r="B17" s="349"/>
      <c r="C17" s="349"/>
      <c r="D17" s="387">
        <f>B7/1000000</f>
        <v>8.4E-7</v>
      </c>
      <c r="E17" s="388">
        <f>(E6-E7)</f>
        <v>4.6163780661467868E-6</v>
      </c>
      <c r="F17" s="389">
        <f>E12</f>
        <v>0</v>
      </c>
      <c r="G17" s="349"/>
      <c r="H17" s="353"/>
    </row>
    <row r="18" spans="2:8" ht="19.5" customHeight="1" thickBot="1">
      <c r="B18" s="354"/>
      <c r="C18" s="355" t="s">
        <v>372</v>
      </c>
      <c r="D18" s="356">
        <v>1</v>
      </c>
      <c r="E18" s="357">
        <v>1</v>
      </c>
      <c r="F18" s="358">
        <v>1</v>
      </c>
      <c r="G18" s="349"/>
      <c r="H18" s="353"/>
    </row>
    <row r="19" spans="2:8" ht="32.25" customHeight="1" thickBot="1">
      <c r="B19" s="359" t="s">
        <v>416</v>
      </c>
      <c r="C19" s="360" t="s">
        <v>46</v>
      </c>
      <c r="D19" s="361"/>
      <c r="E19" s="362"/>
      <c r="F19" s="363"/>
      <c r="G19" s="349"/>
      <c r="H19" s="353"/>
    </row>
    <row r="20" spans="2:8" ht="19.5" customHeight="1" thickBot="1">
      <c r="B20" s="364" t="s">
        <v>419</v>
      </c>
      <c r="C20" s="384">
        <v>0</v>
      </c>
      <c r="D20" s="390">
        <f>C20+D17</f>
        <v>8.4E-7</v>
      </c>
      <c r="E20" s="365">
        <f>C20</f>
        <v>0</v>
      </c>
      <c r="F20" s="366">
        <f>C20</f>
        <v>0</v>
      </c>
      <c r="G20" s="349"/>
      <c r="H20" s="353"/>
    </row>
    <row r="21" spans="2:8" ht="19.5" customHeight="1" thickBot="1">
      <c r="B21" s="364" t="s">
        <v>454</v>
      </c>
      <c r="C21" s="385">
        <v>0</v>
      </c>
      <c r="D21" s="391">
        <f>C21</f>
        <v>0</v>
      </c>
      <c r="E21" s="392">
        <f>C21+E17</f>
        <v>4.6163780661467868E-6</v>
      </c>
      <c r="F21" s="367">
        <f>C21</f>
        <v>0</v>
      </c>
      <c r="G21" s="349"/>
      <c r="H21" s="353"/>
    </row>
    <row r="22" spans="2:8" ht="19.5" customHeight="1" thickBot="1">
      <c r="B22" s="364" t="s">
        <v>455</v>
      </c>
      <c r="C22" s="386">
        <f>E11</f>
        <v>0</v>
      </c>
      <c r="D22" s="393">
        <f>C22</f>
        <v>0</v>
      </c>
      <c r="E22" s="368">
        <f>C22</f>
        <v>0</v>
      </c>
      <c r="F22" s="394">
        <f>C22+F17</f>
        <v>0</v>
      </c>
      <c r="G22" s="349"/>
      <c r="H22" s="353"/>
    </row>
    <row r="23" spans="2:8" ht="19.5" customHeight="1" thickBot="1">
      <c r="B23" s="369" t="s">
        <v>420</v>
      </c>
      <c r="C23" s="395">
        <f>((999.97495*(1-(((C22-3.983035)^2*(C22+301.797))/(522528.9*(C22+69.34881)))))/1000)+((-4.612+0.106*C22))/1000000</f>
        <v>0.99983821362193381</v>
      </c>
      <c r="D23" s="395">
        <f>((999.97495*(1-(((D22-3.983035)^2*(D22+301.797))/(522528.9*(D22+69.34881)))))/1000)+((-4.612+0.106*D22))/1000000</f>
        <v>0.99983821362193381</v>
      </c>
      <c r="E23" s="395">
        <f>((999.97495*(1-(((E22-3.983035)^2*(E22+301.797))/(522528.9*(E22+69.34881)))))/1000)+((-4.612+0.106*E22))/1000000</f>
        <v>0.99983821362193381</v>
      </c>
      <c r="F23" s="395">
        <f>((999.97495*(1-(((F22-3.983035)^2*(F22+301.797))/(522528.9*(F22+69.34881)))))/1000)+((-4.612+0.106*F22))/1000000</f>
        <v>0.99983821362193381</v>
      </c>
      <c r="G23" s="370"/>
      <c r="H23" s="353"/>
    </row>
    <row r="24" spans="2:8" ht="21" customHeight="1" thickBot="1">
      <c r="B24" s="371"/>
      <c r="C24" s="372"/>
      <c r="D24" s="396">
        <f>D23-C23</f>
        <v>0</v>
      </c>
      <c r="E24" s="397">
        <f>E23-C23</f>
        <v>0</v>
      </c>
      <c r="F24" s="397">
        <f>F23-C23</f>
        <v>0</v>
      </c>
      <c r="G24" s="373" t="s">
        <v>456</v>
      </c>
      <c r="H24" s="353"/>
    </row>
    <row r="25" spans="2:8" ht="23.25" customHeight="1" thickBot="1">
      <c r="B25" s="374" t="s">
        <v>457</v>
      </c>
      <c r="C25" s="398">
        <f>SQRT(SUM(D25:F25))</f>
        <v>0</v>
      </c>
      <c r="D25" s="399">
        <f>D24^2</f>
        <v>0</v>
      </c>
      <c r="E25" s="400">
        <f>E24^2</f>
        <v>0</v>
      </c>
      <c r="F25" s="401">
        <f>F24^2</f>
        <v>0</v>
      </c>
      <c r="G25" s="375" t="s">
        <v>458</v>
      </c>
      <c r="H25" s="353"/>
    </row>
    <row r="26" spans="2:8" ht="21.75" customHeight="1" thickBot="1">
      <c r="B26" s="376" t="s">
        <v>372</v>
      </c>
      <c r="C26" s="377">
        <v>1</v>
      </c>
      <c r="D26" s="402" t="e">
        <f>D25/C25^2</f>
        <v>#DIV/0!</v>
      </c>
      <c r="E26" s="403" t="e">
        <f>E25/C25^2</f>
        <v>#DIV/0!</v>
      </c>
      <c r="F26" s="403" t="e">
        <f>F25/C25^2</f>
        <v>#DIV/0!</v>
      </c>
      <c r="G26" s="378" t="s">
        <v>459</v>
      </c>
      <c r="H26" s="404" t="e">
        <f>SUM(D26:F26)</f>
        <v>#DIV/0!</v>
      </c>
    </row>
    <row r="27" spans="2:8" ht="23.25" customHeight="1" thickBot="1">
      <c r="B27" s="374" t="s">
        <v>425</v>
      </c>
      <c r="C27" s="379">
        <f>2</f>
        <v>2</v>
      </c>
      <c r="D27" s="405">
        <f>D24/D17</f>
        <v>0</v>
      </c>
      <c r="E27" s="406">
        <f>E24/E17</f>
        <v>0</v>
      </c>
      <c r="F27" s="406" t="e">
        <f>F24/F17</f>
        <v>#DIV/0!</v>
      </c>
      <c r="G27" s="380" t="s">
        <v>460</v>
      </c>
      <c r="H27" s="381" t="s">
        <v>461</v>
      </c>
    </row>
    <row r="28" spans="2:8" ht="21.75" customHeight="1" thickBot="1">
      <c r="B28" s="374" t="s">
        <v>428</v>
      </c>
      <c r="C28" s="398">
        <f>C27*C25</f>
        <v>0</v>
      </c>
      <c r="D28" s="382"/>
      <c r="E28" s="407">
        <f>C28/C23</f>
        <v>0</v>
      </c>
      <c r="F28" s="383" t="s">
        <v>462</v>
      </c>
      <c r="G28" s="349"/>
      <c r="H28" s="353"/>
    </row>
  </sheetData>
  <sheetProtection password="FFED" sheet="1" objects="1" scenarios="1" formatCells="0" formatColumns="0" formatRows="0"/>
  <mergeCells count="1">
    <mergeCell ref="B13:B15"/>
  </mergeCells>
  <pageMargins left="0.7" right="0.7" top="0.75" bottom="0.75" header="0.3" footer="0.3"/>
  <drawing r:id="rId1"/>
  <legacyDrawing r:id="rId2"/>
  <oleObjects>
    <mc:AlternateContent xmlns:mc="http://schemas.openxmlformats.org/markup-compatibility/2006">
      <mc:Choice Requires="x14">
        <oleObject progId="AcroExch.Document.7" shapeId="33793" r:id="rId3">
          <objectPr locked="0" defaultSize="0" r:id="rId4">
            <anchor moveWithCells="1" sizeWithCells="1">
              <from>
                <xdr:col>5</xdr:col>
                <xdr:colOff>95250</xdr:colOff>
                <xdr:row>1</xdr:row>
                <xdr:rowOff>361950</xdr:rowOff>
              </from>
              <to>
                <xdr:col>5</xdr:col>
                <xdr:colOff>638175</xdr:colOff>
                <xdr:row>2</xdr:row>
                <xdr:rowOff>228600</xdr:rowOff>
              </to>
            </anchor>
          </objectPr>
        </oleObject>
      </mc:Choice>
      <mc:Fallback>
        <oleObject progId="AcroExch.Document.7" shapeId="33793" r:id="rId3"/>
      </mc:Fallback>
    </mc:AlternateContent>
    <mc:AlternateContent xmlns:mc="http://schemas.openxmlformats.org/markup-compatibility/2006">
      <mc:Choice Requires="x14">
        <oleObject progId="AcroExch.Document.7" shapeId="33794" r:id="rId5">
          <objectPr locked="0" defaultSize="0" r:id="rId6">
            <anchor moveWithCells="1" sizeWithCells="1">
              <from>
                <xdr:col>5</xdr:col>
                <xdr:colOff>104775</xdr:colOff>
                <xdr:row>2</xdr:row>
                <xdr:rowOff>314325</xdr:rowOff>
              </from>
              <to>
                <xdr:col>5</xdr:col>
                <xdr:colOff>647700</xdr:colOff>
                <xdr:row>4</xdr:row>
                <xdr:rowOff>38100</xdr:rowOff>
              </to>
            </anchor>
          </objectPr>
        </oleObject>
      </mc:Choice>
      <mc:Fallback>
        <oleObject progId="AcroExch.Document.7" shapeId="33794" r:id="rId5"/>
      </mc:Fallback>
    </mc:AlternateContent>
    <mc:AlternateContent xmlns:mc="http://schemas.openxmlformats.org/markup-compatibility/2006">
      <mc:Choice Requires="x14">
        <oleObject progId="AcroExch.Document.7" shapeId="33795" r:id="rId7">
          <objectPr locked="0" defaultSize="0" r:id="rId8">
            <anchor moveWithCells="1" sizeWithCells="1">
              <from>
                <xdr:col>5</xdr:col>
                <xdr:colOff>104775</xdr:colOff>
                <xdr:row>4</xdr:row>
                <xdr:rowOff>123825</xdr:rowOff>
              </from>
              <to>
                <xdr:col>5</xdr:col>
                <xdr:colOff>647700</xdr:colOff>
                <xdr:row>5</xdr:row>
                <xdr:rowOff>438150</xdr:rowOff>
              </to>
            </anchor>
          </objectPr>
        </oleObject>
      </mc:Choice>
      <mc:Fallback>
        <oleObject progId="AcroExch.Document.7" shapeId="33795" r:id="rId7"/>
      </mc:Fallback>
    </mc:AlternateContent>
    <mc:AlternateContent xmlns:mc="http://schemas.openxmlformats.org/markup-compatibility/2006">
      <mc:Choice Requires="x14">
        <oleObject progId="AcroExch.Document.7" shapeId="33796" r:id="rId9">
          <objectPr locked="0" defaultSize="0" r:id="rId10">
            <anchor moveWithCells="1" sizeWithCells="1">
              <from>
                <xdr:col>5</xdr:col>
                <xdr:colOff>114300</xdr:colOff>
                <xdr:row>6</xdr:row>
                <xdr:rowOff>38100</xdr:rowOff>
              </from>
              <to>
                <xdr:col>5</xdr:col>
                <xdr:colOff>657225</xdr:colOff>
                <xdr:row>7</xdr:row>
                <xdr:rowOff>390525</xdr:rowOff>
              </to>
            </anchor>
          </objectPr>
        </oleObject>
      </mc:Choice>
      <mc:Fallback>
        <oleObject progId="AcroExch.Document.7" shapeId="33796" r:id="rId9"/>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dimension ref="A1:R96"/>
  <sheetViews>
    <sheetView showGridLines="0" zoomScaleNormal="100" workbookViewId="0">
      <selection activeCell="F83" sqref="F83"/>
    </sheetView>
  </sheetViews>
  <sheetFormatPr defaultColWidth="9.75" defaultRowHeight="0" customHeight="1" zeroHeight="1"/>
  <cols>
    <col min="1" max="1" width="24.625" style="52" customWidth="1"/>
    <col min="2" max="2" width="20.25" style="52" customWidth="1"/>
    <col min="3" max="3" width="15.125" style="52" customWidth="1"/>
    <col min="4" max="5" width="9.75" style="52" customWidth="1"/>
    <col min="6" max="6" width="11" style="52" customWidth="1"/>
    <col min="7" max="7" width="12.5" style="52" customWidth="1"/>
    <col min="8" max="8" width="18.25" style="52" customWidth="1"/>
    <col min="9" max="9" width="11.875" style="52" customWidth="1"/>
    <col min="10" max="10" width="11.375" style="52" customWidth="1"/>
    <col min="11" max="11" width="9.75" style="52"/>
    <col min="12" max="12" width="24.125" style="52" customWidth="1"/>
    <col min="13" max="13" width="19.625" style="52" customWidth="1"/>
    <col min="14" max="14" width="12.375" style="52" customWidth="1"/>
    <col min="15" max="15" width="13" style="52" customWidth="1"/>
    <col min="16" max="16384" width="9.75" style="52"/>
  </cols>
  <sheetData>
    <row r="1" spans="1:10" ht="14.25" thickTop="1" thickBot="1">
      <c r="A1" s="690" t="s">
        <v>131</v>
      </c>
      <c r="B1" s="691"/>
      <c r="C1" s="691"/>
      <c r="D1" s="691"/>
      <c r="E1" s="691"/>
      <c r="F1" s="691"/>
      <c r="G1" s="691"/>
      <c r="H1" s="691"/>
      <c r="I1" s="691"/>
      <c r="J1" s="692"/>
    </row>
    <row r="2" spans="1:10" ht="14.25" thickTop="1" thickBot="1">
      <c r="A2" s="693" t="s">
        <v>130</v>
      </c>
      <c r="B2" s="694"/>
      <c r="C2" s="694"/>
      <c r="D2" s="694"/>
      <c r="E2" s="694"/>
      <c r="F2" s="694"/>
      <c r="G2" s="694"/>
      <c r="H2" s="694"/>
      <c r="I2" s="694"/>
      <c r="J2" s="695"/>
    </row>
    <row r="3" spans="1:10" ht="14.25" thickTop="1" thickBot="1">
      <c r="A3" s="410" t="s">
        <v>108</v>
      </c>
      <c r="B3" s="410"/>
      <c r="C3" s="410"/>
      <c r="D3" s="411"/>
      <c r="E3" s="411"/>
      <c r="F3" s="411"/>
    </row>
    <row r="4" spans="1:10" ht="14.25" thickTop="1" thickBot="1">
      <c r="A4" s="44" t="s">
        <v>90</v>
      </c>
      <c r="B4" s="120" t="s">
        <v>153</v>
      </c>
      <c r="C4" s="45" t="s">
        <v>76</v>
      </c>
      <c r="D4" s="696" t="s">
        <v>153</v>
      </c>
      <c r="E4" s="697"/>
      <c r="F4" s="697"/>
      <c r="G4" s="698"/>
      <c r="H4" s="699" t="s">
        <v>110</v>
      </c>
      <c r="I4" s="700"/>
      <c r="J4" s="701"/>
    </row>
    <row r="5" spans="1:10" ht="13.5" thickTop="1">
      <c r="A5" s="108" t="s">
        <v>132</v>
      </c>
      <c r="B5" s="121">
        <v>5</v>
      </c>
      <c r="C5" s="46" t="s">
        <v>58</v>
      </c>
      <c r="D5" s="702" t="s">
        <v>153</v>
      </c>
      <c r="E5" s="703"/>
      <c r="F5" s="703"/>
      <c r="G5" s="704"/>
      <c r="H5" s="124"/>
      <c r="I5" s="125"/>
      <c r="J5" s="126"/>
    </row>
    <row r="6" spans="1:10" ht="12.75">
      <c r="A6" s="47" t="s">
        <v>59</v>
      </c>
      <c r="B6" s="122" t="s">
        <v>146</v>
      </c>
      <c r="C6" s="71" t="s">
        <v>60</v>
      </c>
      <c r="D6" s="687" t="s">
        <v>154</v>
      </c>
      <c r="E6" s="688"/>
      <c r="F6" s="688"/>
      <c r="G6" s="689"/>
      <c r="H6" s="127"/>
      <c r="I6" s="128"/>
      <c r="J6" s="129"/>
    </row>
    <row r="7" spans="1:10" ht="27" customHeight="1">
      <c r="A7" s="107" t="s">
        <v>129</v>
      </c>
      <c r="B7" s="123">
        <v>2.65E-5</v>
      </c>
      <c r="C7" s="106" t="s">
        <v>128</v>
      </c>
      <c r="D7" s="105">
        <v>60</v>
      </c>
      <c r="E7" s="83"/>
      <c r="F7" s="83"/>
      <c r="G7" s="84"/>
      <c r="H7" s="127"/>
      <c r="I7" s="130" t="s">
        <v>151</v>
      </c>
      <c r="J7" s="129"/>
    </row>
    <row r="8" spans="1:10" ht="25.5">
      <c r="A8" s="47" t="s">
        <v>109</v>
      </c>
      <c r="B8" s="545">
        <f>B7*1.8</f>
        <v>4.7700000000000001E-5</v>
      </c>
      <c r="C8" s="46"/>
      <c r="D8" s="86" t="s">
        <v>106</v>
      </c>
      <c r="E8" s="86" t="s">
        <v>107</v>
      </c>
      <c r="F8" s="43" t="s">
        <v>75</v>
      </c>
      <c r="G8" s="88" t="s">
        <v>93</v>
      </c>
      <c r="H8" s="127"/>
      <c r="I8" s="130"/>
      <c r="J8" s="129"/>
    </row>
    <row r="9" spans="1:10" ht="18.75" customHeight="1">
      <c r="A9" s="47" t="s">
        <v>63</v>
      </c>
      <c r="B9" s="122" t="s">
        <v>153</v>
      </c>
      <c r="C9" s="58" t="s">
        <v>98</v>
      </c>
      <c r="D9" s="65">
        <f>AVERAGE(I32:J32)</f>
        <v>20.67</v>
      </c>
      <c r="E9" s="65">
        <f>AVERAGE(I37:J37)</f>
        <v>20.82</v>
      </c>
      <c r="F9" s="121">
        <v>0.1</v>
      </c>
      <c r="G9" s="89">
        <f>AVERAGE(D9:E9)</f>
        <v>20.745000000000001</v>
      </c>
      <c r="H9" s="127"/>
      <c r="I9" s="128"/>
      <c r="J9" s="129"/>
    </row>
    <row r="10" spans="1:10" ht="18.75" customHeight="1">
      <c r="A10" s="47" t="s">
        <v>73</v>
      </c>
      <c r="B10" s="418">
        <v>20000</v>
      </c>
      <c r="C10" s="58" t="s">
        <v>99</v>
      </c>
      <c r="D10" s="65">
        <f>AVERAGE(I33:J33)</f>
        <v>752.4</v>
      </c>
      <c r="E10" s="65">
        <f>AVERAGE(I38:J38)</f>
        <v>752</v>
      </c>
      <c r="F10" s="121">
        <v>0.5</v>
      </c>
      <c r="G10" s="89">
        <f>AVERAGE(D10:E10)</f>
        <v>752.2</v>
      </c>
      <c r="H10" s="127"/>
      <c r="I10" s="128"/>
      <c r="J10" s="129"/>
    </row>
    <row r="11" spans="1:10" ht="27" customHeight="1">
      <c r="A11" s="107" t="s">
        <v>74</v>
      </c>
      <c r="B11" s="418">
        <v>1.4</v>
      </c>
      <c r="C11" s="58" t="s">
        <v>100</v>
      </c>
      <c r="D11" s="65">
        <f>AVERAGE(I34:J34)</f>
        <v>45.47</v>
      </c>
      <c r="E11" s="65">
        <f>AVERAGE(I39:J39)</f>
        <v>49.2</v>
      </c>
      <c r="F11" s="121">
        <v>2</v>
      </c>
      <c r="G11" s="89">
        <f>AVERAGE(D11:E11)</f>
        <v>47.335000000000001</v>
      </c>
      <c r="H11" s="127"/>
      <c r="I11" s="128"/>
      <c r="J11" s="129"/>
    </row>
    <row r="12" spans="1:10" ht="20.25" customHeight="1" thickBot="1">
      <c r="A12" s="48" t="s">
        <v>64</v>
      </c>
      <c r="B12" s="419">
        <v>200</v>
      </c>
      <c r="C12" s="684" t="s">
        <v>114</v>
      </c>
      <c r="D12" s="685"/>
      <c r="E12" s="686"/>
      <c r="F12" s="133">
        <v>0.1</v>
      </c>
      <c r="G12" s="72"/>
      <c r="H12" s="127"/>
      <c r="I12" s="128"/>
      <c r="J12" s="129"/>
    </row>
    <row r="13" spans="1:10" ht="20.25" customHeight="1" thickTop="1" thickBot="1">
      <c r="A13" s="675" t="s">
        <v>126</v>
      </c>
      <c r="B13" s="675"/>
      <c r="C13" s="675"/>
      <c r="D13" s="676"/>
      <c r="E13" s="676"/>
      <c r="F13" s="676"/>
      <c r="G13" s="90"/>
      <c r="H13" s="127"/>
      <c r="I13" s="128"/>
      <c r="J13" s="129"/>
    </row>
    <row r="14" spans="1:10" ht="20.25" customHeight="1" thickTop="1">
      <c r="A14" s="677" t="s">
        <v>138</v>
      </c>
      <c r="B14" s="679" t="s">
        <v>80</v>
      </c>
      <c r="C14" s="679" t="s">
        <v>81</v>
      </c>
      <c r="D14" s="681" t="s">
        <v>115</v>
      </c>
      <c r="E14" s="679" t="s">
        <v>79</v>
      </c>
      <c r="F14" s="639" t="s">
        <v>505</v>
      </c>
      <c r="G14" s="644" t="s">
        <v>82</v>
      </c>
      <c r="H14" s="637" t="s">
        <v>94</v>
      </c>
      <c r="I14" s="128"/>
      <c r="J14" s="129"/>
    </row>
    <row r="15" spans="1:10" ht="20.25" customHeight="1" thickBot="1">
      <c r="A15" s="678"/>
      <c r="B15" s="680"/>
      <c r="C15" s="680"/>
      <c r="D15" s="680"/>
      <c r="E15" s="680"/>
      <c r="F15" s="640"/>
      <c r="G15" s="645"/>
      <c r="H15" s="638"/>
      <c r="I15" s="128"/>
      <c r="J15" s="129"/>
    </row>
    <row r="16" spans="1:10" ht="15.75" customHeight="1" thickTop="1">
      <c r="A16" s="553" t="s">
        <v>122</v>
      </c>
      <c r="B16" s="423">
        <v>4999.9907620000004</v>
      </c>
      <c r="C16" s="423">
        <v>0</v>
      </c>
      <c r="D16" s="423">
        <v>4.7125999999999998E-4</v>
      </c>
      <c r="E16" s="423">
        <v>1</v>
      </c>
      <c r="F16" s="446">
        <v>4.7125999999999998E-4</v>
      </c>
      <c r="G16" s="425">
        <v>8</v>
      </c>
      <c r="H16" s="426">
        <v>624.99884529999997</v>
      </c>
      <c r="I16" s="128"/>
      <c r="J16" s="129"/>
    </row>
    <row r="17" spans="1:16" ht="15.75" customHeight="1">
      <c r="A17" s="554"/>
      <c r="B17" s="423" t="str">
        <f>IF(ISBLANK(VLOOKUP(A17,EmptyReference,2,FALSE))=TRUE, "",VLOOKUP(A17,EmptyReference,2,FALSE))</f>
        <v/>
      </c>
      <c r="C17" s="423" t="str">
        <f>IF(ISBLANK(VLOOKUP(A17,EmptyReference,3,FALSE))=TRUE, "",VLOOKUP(A17,EmptyReference,3,FALSE))</f>
        <v/>
      </c>
      <c r="D17" s="423" t="str">
        <f>IF(ISBLANK(VLOOKUP(A17,EmptyReference,4,FALSE))=TRUE, "",VLOOKUP(A17,EmptyReference,4,FALSE))</f>
        <v/>
      </c>
      <c r="E17" s="423" t="str">
        <f>IF(ISBLANK(VLOOKUP(A17,EmptyReference,5,FALSE))=TRUE, "",VLOOKUP(A17,EmptyReference,5,FALSE))</f>
        <v/>
      </c>
      <c r="F17" s="428" t="str">
        <f>IF(ISBLANK(VLOOKUP(A17,EmptyReference,6,FALSE))=TRUE, "",VLOOKUP(A17,EmptyReference,6,FALSE))</f>
        <v/>
      </c>
      <c r="G17" s="425" t="str">
        <f>IF(ISBLANK(VLOOKUP(A17,EmptyReference,7,FALSE))=TRUE, "",VLOOKUP(A17,EmptyReference,7,FALSE))</f>
        <v/>
      </c>
      <c r="H17" s="426" t="str">
        <f>IF(ISBLANK(VLOOKUP(A17,EmptyReference,8,FALSE))=TRUE, "",VLOOKUP(A17,EmptyReference,8,FALSE))</f>
        <v/>
      </c>
      <c r="I17" s="128"/>
      <c r="J17" s="129"/>
    </row>
    <row r="18" spans="1:16" ht="15.75" customHeight="1">
      <c r="A18" s="554"/>
      <c r="B18" s="423" t="str">
        <f>IF(ISBLANK(VLOOKUP(A18,EmptyReference,2,FALSE))=TRUE, "",VLOOKUP(A18,EmptyReference,2,FALSE))</f>
        <v/>
      </c>
      <c r="C18" s="423" t="str">
        <f>IF(ISBLANK(VLOOKUP(A18,EmptyReference,3,FALSE))=TRUE, "",VLOOKUP(A18,EmptyReference,3,FALSE))</f>
        <v/>
      </c>
      <c r="D18" s="423" t="str">
        <f>IF(ISBLANK(VLOOKUP(A18,EmptyReference,4,FALSE))=TRUE, "",VLOOKUP(A18,EmptyReference,4,FALSE))</f>
        <v/>
      </c>
      <c r="E18" s="423" t="str">
        <f>IF(ISBLANK(VLOOKUP(A18,EmptyReference,5,FALSE))=TRUE, "",VLOOKUP(A18,EmptyReference,5,FALSE))</f>
        <v/>
      </c>
      <c r="F18" s="428" t="str">
        <f>IF(ISBLANK(VLOOKUP(A18,EmptyReference,6,FALSE))=TRUE, "",VLOOKUP(A18,EmptyReference,6,FALSE))</f>
        <v/>
      </c>
      <c r="G18" s="425" t="str">
        <f>IF(ISBLANK(VLOOKUP(A18,EmptyReference,7,FALSE))=TRUE, "",VLOOKUP(A18,EmptyReference,7,FALSE))</f>
        <v/>
      </c>
      <c r="H18" s="426" t="str">
        <f>IF(ISBLANK(VLOOKUP(A18,EmptyReference,8,FALSE))=TRUE, "",VLOOKUP(A18,EmptyReference,8,FALSE))</f>
        <v/>
      </c>
      <c r="I18" s="128"/>
      <c r="J18" s="129"/>
    </row>
    <row r="19" spans="1:16" ht="15.75" customHeight="1" thickBot="1">
      <c r="A19" s="555"/>
      <c r="B19" s="423" t="str">
        <f>IF(ISBLANK(VLOOKUP(A19,EmptyReference,2,FALSE))=TRUE, "",VLOOKUP(A19,EmptyReference,2,FALSE))</f>
        <v/>
      </c>
      <c r="C19" s="423" t="str">
        <f>IF(ISBLANK(VLOOKUP(A19,EmptyReference,3,FALSE))=TRUE, "",VLOOKUP(A19,EmptyReference,3,FALSE))</f>
        <v/>
      </c>
      <c r="D19" s="423" t="str">
        <f>IF(ISBLANK(VLOOKUP(A19,EmptyReference,4,FALSE))=TRUE, "",VLOOKUP(A19,EmptyReference,4,FALSE))</f>
        <v/>
      </c>
      <c r="E19" s="423" t="str">
        <f>IF(ISBLANK(VLOOKUP(A19,EmptyReference,5,FALSE))=TRUE, "",VLOOKUP(A19,EmptyReference,5,FALSE))</f>
        <v/>
      </c>
      <c r="F19" s="429" t="str">
        <f>IF(ISBLANK(VLOOKUP(A19,EmptyReference,6,FALSE))=TRUE, "",VLOOKUP(A19,EmptyReference,6,FALSE))</f>
        <v/>
      </c>
      <c r="G19" s="425" t="str">
        <f>IF(ISBLANK(VLOOKUP(A19,EmptyReference,7,FALSE))=TRUE, "",VLOOKUP(A19,EmptyReference,7,FALSE))</f>
        <v/>
      </c>
      <c r="H19" s="426" t="str">
        <f>IF(ISBLANK(VLOOKUP(A19,EmptyReference,8,FALSE))=TRUE, "",VLOOKUP(A19,EmptyReference,8,FALSE))</f>
        <v/>
      </c>
      <c r="I19" s="128"/>
      <c r="J19" s="129"/>
    </row>
    <row r="20" spans="1:16" ht="15.75" customHeight="1" thickTop="1" thickBot="1">
      <c r="A20" s="60" t="s">
        <v>92</v>
      </c>
      <c r="B20" s="64">
        <f>IF(B16="", "", SUM(B16:B19))</f>
        <v>4999.9907620000004</v>
      </c>
      <c r="C20" s="64" t="str">
        <f>IF(C16="", "", SUM(C16:C19))</f>
        <v/>
      </c>
      <c r="D20" s="430"/>
      <c r="E20" s="430"/>
      <c r="F20" s="449">
        <f>IF(F16="", "",SUM(F16:F19))</f>
        <v>4.7125999999999998E-4</v>
      </c>
      <c r="G20" s="420">
        <f>IF(H20="","",ROUND(B20/H20,6))</f>
        <v>8</v>
      </c>
      <c r="H20" s="422">
        <f>IF(H16="", "",SUM(H16:H19))</f>
        <v>624.99884529999997</v>
      </c>
      <c r="I20" s="128"/>
      <c r="J20" s="129"/>
    </row>
    <row r="21" spans="1:16" ht="14.25" thickTop="1" thickBot="1">
      <c r="A21" s="675" t="s">
        <v>127</v>
      </c>
      <c r="B21" s="675"/>
      <c r="C21" s="675"/>
      <c r="D21" s="676"/>
      <c r="E21" s="676"/>
      <c r="F21" s="676"/>
      <c r="G21" s="90"/>
      <c r="H21" s="452"/>
      <c r="I21" s="128"/>
      <c r="J21" s="129"/>
    </row>
    <row r="22" spans="1:16" ht="39" customHeight="1" thickTop="1">
      <c r="A22" s="677" t="s">
        <v>139</v>
      </c>
      <c r="B22" s="679" t="s">
        <v>80</v>
      </c>
      <c r="C22" s="679" t="s">
        <v>81</v>
      </c>
      <c r="D22" s="681" t="s">
        <v>115</v>
      </c>
      <c r="E22" s="679" t="s">
        <v>79</v>
      </c>
      <c r="F22" s="639" t="s">
        <v>505</v>
      </c>
      <c r="G22" s="644" t="s">
        <v>82</v>
      </c>
      <c r="H22" s="635" t="s">
        <v>94</v>
      </c>
      <c r="I22" s="128"/>
      <c r="J22" s="129"/>
    </row>
    <row r="23" spans="1:16" ht="13.5" thickBot="1">
      <c r="A23" s="678"/>
      <c r="B23" s="680"/>
      <c r="C23" s="680"/>
      <c r="D23" s="680"/>
      <c r="E23" s="680"/>
      <c r="F23" s="640"/>
      <c r="G23" s="645"/>
      <c r="H23" s="636"/>
      <c r="I23" s="128"/>
      <c r="J23" s="129"/>
    </row>
    <row r="24" spans="1:16" ht="15" thickTop="1">
      <c r="A24" s="553" t="s">
        <v>124</v>
      </c>
      <c r="B24" s="423">
        <v>20000.020530000002</v>
      </c>
      <c r="C24" s="423">
        <v>0</v>
      </c>
      <c r="D24" s="423">
        <v>1.50902E-3</v>
      </c>
      <c r="E24" s="423">
        <v>1</v>
      </c>
      <c r="F24" s="446">
        <v>1.50902E-3</v>
      </c>
      <c r="G24" s="447">
        <v>8</v>
      </c>
      <c r="H24" s="443">
        <v>2500.0025660000001</v>
      </c>
      <c r="I24" s="128"/>
      <c r="J24" s="129"/>
    </row>
    <row r="25" spans="1:16" ht="12.75">
      <c r="A25" s="551"/>
      <c r="B25" s="423" t="str">
        <f>IF(ISBLANK(VLOOKUP(A25,FilledReference,2,FALSE))=TRUE, "",VLOOKUP(A25,FilledReference,2,FALSE))</f>
        <v/>
      </c>
      <c r="C25" s="423" t="str">
        <f>IF(ISBLANK(VLOOKUP(A25,FilledReference,3,FALSE))=TRUE, "",VLOOKUP(A25,FilledReference,3,FALSE))</f>
        <v/>
      </c>
      <c r="D25" s="423" t="str">
        <f>IF(ISBLANK(VLOOKUP(A25,FilledReference,4,FALSE))=TRUE, "",VLOOKUP(A25,FilledReference,4,FALSE))</f>
        <v/>
      </c>
      <c r="E25" s="423" t="str">
        <f>IF(ISBLANK(VLOOKUP(A25,FilledReference,5,FALSE))=TRUE, "",VLOOKUP(A25,FilledReference,5,FALSE))</f>
        <v/>
      </c>
      <c r="F25" s="428" t="str">
        <f>IF(ISBLANK(VLOOKUP(A25,FilledReference,6,FALSE))=TRUE, "",VLOOKUP(A25,FilledReference,6,FALSE))</f>
        <v/>
      </c>
      <c r="G25" s="427" t="str">
        <f>IF(ISBLANK(VLOOKUP(A25,FilledReference,7,FALSE))=TRUE, "",VLOOKUP(A25,FilledReference,7,FALSE))</f>
        <v/>
      </c>
      <c r="H25" s="443" t="str">
        <f>IF(ISBLANK(VLOOKUP(A25,FilledReference,8,FALSE))=TRUE, "",VLOOKUP(A25,FilledReference,8,FALSE))</f>
        <v/>
      </c>
      <c r="I25" s="128"/>
      <c r="J25" s="129"/>
    </row>
    <row r="26" spans="1:16" ht="12.75">
      <c r="A26" s="551"/>
      <c r="B26" s="423" t="str">
        <f>IF(ISBLANK(VLOOKUP(A26,FilledReference,2,FALSE))=TRUE, "",VLOOKUP(A26,FilledReference,2,FALSE))</f>
        <v/>
      </c>
      <c r="C26" s="423" t="str">
        <f>IF(ISBLANK(VLOOKUP(A26,FilledReference,3,FALSE))=TRUE, "",VLOOKUP(A26,FilledReference,3,FALSE))</f>
        <v/>
      </c>
      <c r="D26" s="423" t="str">
        <f>IF(ISBLANK(VLOOKUP(A26,FilledReference,4,FALSE))=TRUE, "",VLOOKUP(A26,FilledReference,4,FALSE))</f>
        <v/>
      </c>
      <c r="E26" s="423" t="str">
        <f>IF(ISBLANK(VLOOKUP(A26,FilledReference,5,FALSE))=TRUE, "",VLOOKUP(A26,FilledReference,5,FALSE))</f>
        <v/>
      </c>
      <c r="F26" s="428" t="str">
        <f>IF(ISBLANK(VLOOKUP(A26,FilledReference,6,FALSE))=TRUE, "",VLOOKUP(A26,FilledReference,6,FALSE))</f>
        <v/>
      </c>
      <c r="G26" s="427" t="str">
        <f>IF(ISBLANK(VLOOKUP(A26,FilledReference,7,FALSE))=TRUE, "",VLOOKUP(A26,FilledReference,7,FALSE))</f>
        <v/>
      </c>
      <c r="H26" s="443" t="str">
        <f>IF(ISBLANK(VLOOKUP(A26,FilledReference,8,FALSE))=TRUE, "",VLOOKUP(A26,FilledReference,8,FALSE))</f>
        <v/>
      </c>
      <c r="I26" s="128"/>
      <c r="J26" s="129"/>
    </row>
    <row r="27" spans="1:16" ht="13.5" thickBot="1">
      <c r="A27" s="552"/>
      <c r="B27" s="423" t="str">
        <f>IF(ISBLANK(VLOOKUP(A27,FilledReference,2,FALSE))=TRUE, "",VLOOKUP(A27,FilledReference,2,FALSE))</f>
        <v/>
      </c>
      <c r="C27" s="423" t="str">
        <f>IF(ISBLANK(VLOOKUP(A27,FilledReference,3,FALSE))=TRUE, "",VLOOKUP(A27,FilledReference,3,FALSE))</f>
        <v/>
      </c>
      <c r="D27" s="423" t="str">
        <f>IF(ISBLANK(VLOOKUP(A27,FilledReference,4,FALSE))=TRUE, "",VLOOKUP(A27,FilledReference,4,FALSE))</f>
        <v/>
      </c>
      <c r="E27" s="423" t="str">
        <f>IF(ISBLANK(VLOOKUP(A27,FilledReference,5,FALSE))=TRUE, "",VLOOKUP(A27,FilledReference,5,FALSE))</f>
        <v/>
      </c>
      <c r="F27" s="429" t="str">
        <f>IF(ISBLANK(VLOOKUP(A27,FilledReference,6,FALSE))=TRUE, "",VLOOKUP(A27,FilledReference,6,FALSE))</f>
        <v/>
      </c>
      <c r="G27" s="445" t="str">
        <f>IF(ISBLANK(VLOOKUP(A27,FilledReference,7,FALSE))=TRUE, "",VLOOKUP(A27,FilledReference,7,FALSE))</f>
        <v/>
      </c>
      <c r="H27" s="443" t="str">
        <f>IF(ISBLANK(VLOOKUP(A27,FilledReference,8,FALSE))=TRUE, "",VLOOKUP(A27,FilledReference,8,FALSE))</f>
        <v/>
      </c>
      <c r="I27" s="128"/>
      <c r="J27" s="129"/>
    </row>
    <row r="28" spans="1:16" ht="18.75" customHeight="1" thickTop="1" thickBot="1">
      <c r="A28" s="451" t="s">
        <v>92</v>
      </c>
      <c r="B28" s="64">
        <f>IF(B24="", "", SUM(B24:B27))</f>
        <v>20000.020530000002</v>
      </c>
      <c r="C28" s="64" t="str">
        <f>IF(C24="", "", SUM(C24:C27))</f>
        <v/>
      </c>
      <c r="D28" s="430"/>
      <c r="E28" s="430"/>
      <c r="F28" s="453">
        <f>IF(F24="", "",SUM(F24:F27))</f>
        <v>1.50902E-3</v>
      </c>
      <c r="G28" s="450">
        <f>IF(H28="","",ROUND(B28/H28,6))</f>
        <v>8</v>
      </c>
      <c r="H28" s="432">
        <f>IF(H24="", "",SUM(H24:H27))</f>
        <v>2500.0025660000001</v>
      </c>
      <c r="I28" s="131"/>
      <c r="J28" s="132"/>
    </row>
    <row r="29" spans="1:16" ht="13.5" thickTop="1">
      <c r="A29" s="682" t="s">
        <v>68</v>
      </c>
      <c r="B29" s="682"/>
      <c r="C29" s="682"/>
      <c r="D29" s="682"/>
      <c r="E29" s="682"/>
      <c r="F29" s="682"/>
    </row>
    <row r="30" spans="1:16" ht="13.5" thickBot="1">
      <c r="A30" s="683" t="s">
        <v>103</v>
      </c>
      <c r="B30" s="683"/>
      <c r="C30" s="683"/>
      <c r="D30" s="683"/>
      <c r="E30" s="683"/>
      <c r="F30" s="683"/>
    </row>
    <row r="31" spans="1:16" ht="39" thickTop="1">
      <c r="A31" s="49" t="s">
        <v>40</v>
      </c>
      <c r="B31" s="412" t="s">
        <v>89</v>
      </c>
      <c r="C31" s="412" t="s">
        <v>66</v>
      </c>
      <c r="D31" s="674" t="s">
        <v>97</v>
      </c>
      <c r="E31" s="674"/>
      <c r="F31" s="674"/>
      <c r="G31" s="674"/>
      <c r="H31" s="45"/>
      <c r="I31" s="412" t="s">
        <v>61</v>
      </c>
      <c r="J31" s="421" t="s">
        <v>62</v>
      </c>
      <c r="M31" s="82"/>
      <c r="N31" s="82"/>
      <c r="O31" s="82"/>
      <c r="P31" s="82"/>
    </row>
    <row r="32" spans="1:16" ht="20.100000000000001" customHeight="1">
      <c r="A32" s="50">
        <v>1</v>
      </c>
      <c r="B32" s="79" t="s">
        <v>122</v>
      </c>
      <c r="C32" s="66" t="s">
        <v>70</v>
      </c>
      <c r="D32" s="643">
        <v>4999.9340000000002</v>
      </c>
      <c r="E32" s="643"/>
      <c r="F32" s="643"/>
      <c r="G32" s="643"/>
      <c r="H32" s="46" t="s">
        <v>98</v>
      </c>
      <c r="I32" s="134">
        <v>20.67</v>
      </c>
      <c r="J32" s="135">
        <v>20.67</v>
      </c>
      <c r="M32" s="82"/>
      <c r="N32" s="82"/>
      <c r="O32" s="82"/>
      <c r="P32" s="82"/>
    </row>
    <row r="33" spans="1:17" ht="20.100000000000001" customHeight="1">
      <c r="A33" s="50">
        <v>2</v>
      </c>
      <c r="B33" s="51" t="s">
        <v>123</v>
      </c>
      <c r="C33" s="66" t="s">
        <v>71</v>
      </c>
      <c r="D33" s="643">
        <v>5088.1660000000002</v>
      </c>
      <c r="E33" s="643"/>
      <c r="F33" s="643"/>
      <c r="G33" s="643"/>
      <c r="H33" s="46" t="s">
        <v>99</v>
      </c>
      <c r="I33" s="134">
        <v>752.4</v>
      </c>
      <c r="J33" s="135">
        <v>752.4</v>
      </c>
      <c r="M33" s="670"/>
      <c r="N33" s="670"/>
      <c r="O33" s="670"/>
      <c r="P33" s="670"/>
    </row>
    <row r="34" spans="1:17" ht="20.100000000000001" customHeight="1">
      <c r="A34" s="50">
        <v>3</v>
      </c>
      <c r="B34" s="79" t="s">
        <v>124</v>
      </c>
      <c r="C34" s="66" t="s">
        <v>72</v>
      </c>
      <c r="D34" s="643">
        <v>19999.704000000002</v>
      </c>
      <c r="E34" s="643"/>
      <c r="F34" s="643"/>
      <c r="G34" s="643"/>
      <c r="H34" s="46" t="s">
        <v>100</v>
      </c>
      <c r="I34" s="134">
        <v>45.47</v>
      </c>
      <c r="J34" s="135">
        <v>45.47</v>
      </c>
      <c r="M34" s="670"/>
      <c r="N34" s="670"/>
      <c r="O34" s="670"/>
      <c r="P34" s="670"/>
    </row>
    <row r="35" spans="1:17" ht="20.100000000000001" customHeight="1" thickBot="1">
      <c r="A35" s="67">
        <v>4</v>
      </c>
      <c r="B35" s="68" t="s">
        <v>65</v>
      </c>
      <c r="C35" s="69" t="s">
        <v>121</v>
      </c>
      <c r="D35" s="671">
        <v>23963.164000000001</v>
      </c>
      <c r="E35" s="671"/>
      <c r="F35" s="671"/>
      <c r="G35" s="671"/>
      <c r="H35" s="68" t="s">
        <v>77</v>
      </c>
      <c r="I35" s="419">
        <v>21.1</v>
      </c>
      <c r="J35" s="70"/>
      <c r="K35" s="81"/>
      <c r="M35" s="670"/>
      <c r="N35" s="670"/>
      <c r="O35" s="670"/>
      <c r="P35" s="670"/>
    </row>
    <row r="36" spans="1:17" ht="39" thickTop="1">
      <c r="A36" s="49" t="s">
        <v>41</v>
      </c>
      <c r="B36" s="412" t="s">
        <v>89</v>
      </c>
      <c r="C36" s="412" t="s">
        <v>66</v>
      </c>
      <c r="D36" s="674" t="s">
        <v>97</v>
      </c>
      <c r="E36" s="674"/>
      <c r="F36" s="674"/>
      <c r="G36" s="674"/>
      <c r="H36" s="45"/>
      <c r="I36" s="412" t="s">
        <v>61</v>
      </c>
      <c r="J36" s="421" t="s">
        <v>62</v>
      </c>
      <c r="M36" s="82"/>
      <c r="N36" s="82"/>
      <c r="O36" s="82"/>
      <c r="P36" s="82"/>
      <c r="Q36" s="82"/>
    </row>
    <row r="37" spans="1:17" ht="20.100000000000001" customHeight="1">
      <c r="A37" s="50">
        <v>1</v>
      </c>
      <c r="B37" s="79" t="s">
        <v>122</v>
      </c>
      <c r="C37" s="66" t="s">
        <v>70</v>
      </c>
      <c r="D37" s="643">
        <v>4999.9480000000003</v>
      </c>
      <c r="E37" s="643"/>
      <c r="F37" s="643"/>
      <c r="G37" s="643"/>
      <c r="H37" s="46" t="s">
        <v>98</v>
      </c>
      <c r="I37" s="134">
        <v>20.82</v>
      </c>
      <c r="J37" s="134">
        <v>20.82</v>
      </c>
      <c r="N37" s="670"/>
      <c r="O37" s="670"/>
      <c r="P37" s="670"/>
      <c r="Q37" s="670"/>
    </row>
    <row r="38" spans="1:17" ht="20.100000000000001" customHeight="1">
      <c r="A38" s="50">
        <v>2</v>
      </c>
      <c r="B38" s="51" t="s">
        <v>123</v>
      </c>
      <c r="C38" s="66" t="s">
        <v>71</v>
      </c>
      <c r="D38" s="643">
        <v>5087.91</v>
      </c>
      <c r="E38" s="643"/>
      <c r="F38" s="643"/>
      <c r="G38" s="643"/>
      <c r="H38" s="46" t="s">
        <v>99</v>
      </c>
      <c r="I38" s="134">
        <v>752</v>
      </c>
      <c r="J38" s="134">
        <v>752</v>
      </c>
      <c r="N38" s="670"/>
      <c r="O38" s="670"/>
      <c r="P38" s="670"/>
      <c r="Q38" s="670"/>
    </row>
    <row r="39" spans="1:17" ht="20.100000000000001" customHeight="1">
      <c r="A39" s="50">
        <v>3</v>
      </c>
      <c r="B39" s="79" t="s">
        <v>124</v>
      </c>
      <c r="C39" s="66" t="s">
        <v>72</v>
      </c>
      <c r="D39" s="643">
        <v>19999.664000000001</v>
      </c>
      <c r="E39" s="643"/>
      <c r="F39" s="643"/>
      <c r="G39" s="643"/>
      <c r="H39" s="46" t="s">
        <v>100</v>
      </c>
      <c r="I39" s="134">
        <v>49.2</v>
      </c>
      <c r="J39" s="134">
        <v>49.2</v>
      </c>
      <c r="N39" s="670"/>
      <c r="O39" s="670"/>
      <c r="P39" s="670"/>
      <c r="Q39" s="670"/>
    </row>
    <row r="40" spans="1:17" ht="20.100000000000001" customHeight="1" thickBot="1">
      <c r="A40" s="67">
        <v>4</v>
      </c>
      <c r="B40" s="68" t="s">
        <v>65</v>
      </c>
      <c r="C40" s="69" t="s">
        <v>121</v>
      </c>
      <c r="D40" s="671">
        <v>23957.894</v>
      </c>
      <c r="E40" s="671"/>
      <c r="F40" s="671"/>
      <c r="G40" s="671"/>
      <c r="H40" s="68" t="s">
        <v>77</v>
      </c>
      <c r="I40" s="419">
        <v>21.1</v>
      </c>
      <c r="J40" s="70"/>
      <c r="N40" s="82"/>
      <c r="O40" s="82"/>
      <c r="P40" s="82"/>
      <c r="Q40" s="82"/>
    </row>
    <row r="41" spans="1:17" ht="13.5" thickTop="1">
      <c r="A41" s="91"/>
      <c r="I41" s="82"/>
      <c r="J41" s="82"/>
    </row>
    <row r="42" spans="1:17" ht="13.5" thickBot="1">
      <c r="A42" s="91"/>
      <c r="I42" s="82"/>
      <c r="J42" s="82"/>
    </row>
    <row r="43" spans="1:17" ht="17.25" thickTop="1">
      <c r="A43" s="672" t="s">
        <v>125</v>
      </c>
      <c r="B43" s="673"/>
      <c r="C43" s="109" t="str">
        <f>FIXED((AVERAGE(C62:C63)),(2-1-INT(LOG10(ABS(J91)))))</f>
        <v>18,925.9</v>
      </c>
      <c r="D43" s="112" t="s">
        <v>39</v>
      </c>
      <c r="E43" s="109" t="str">
        <f>FIXED((AVERAGE(C62:C63)/3785.412),(2-1-INT(LOG10(ABS(J91/3785.412)))))</f>
        <v>4.99969</v>
      </c>
      <c r="F43" s="111" t="s">
        <v>140</v>
      </c>
      <c r="G43" s="109" t="str">
        <f>FIXED((AVERAGE(C62:C63)/3785.412*231),(2-1-INT(LOG10(ABS(J91/3785.412*231)))))</f>
        <v>1,154.93</v>
      </c>
      <c r="H43" s="111" t="s">
        <v>141</v>
      </c>
      <c r="I43" s="82"/>
      <c r="J43" s="82"/>
    </row>
    <row r="44" spans="1:17" ht="17.25" thickBot="1">
      <c r="A44" s="646" t="s">
        <v>87</v>
      </c>
      <c r="B44" s="647"/>
      <c r="C44" s="110" t="str">
        <f>FIXED(J91,2-1-INT(LOG10(ABS(J91))))</f>
        <v>3.3</v>
      </c>
      <c r="D44" s="113" t="s">
        <v>39</v>
      </c>
      <c r="E44" s="110" t="str">
        <f>FIXED(J91/3785.412,2-1-INT(LOG10(ABS(J91/3785.412))))</f>
        <v>0.00087</v>
      </c>
      <c r="F44" s="114" t="s">
        <v>140</v>
      </c>
      <c r="G44" s="110" t="str">
        <f>FIXED(J91/3785.412*231,2-1-INT(LOG10(ABS(J91/3785.412*231))))</f>
        <v>0.20</v>
      </c>
      <c r="H44" s="114" t="s">
        <v>141</v>
      </c>
    </row>
    <row r="45" spans="1:17" ht="13.5" thickTop="1">
      <c r="A45" s="91"/>
      <c r="I45" s="82"/>
      <c r="J45" s="82"/>
    </row>
    <row r="46" spans="1:17" ht="13.5" thickBot="1">
      <c r="A46" s="648" t="s">
        <v>78</v>
      </c>
      <c r="B46" s="648"/>
      <c r="C46" s="648"/>
      <c r="D46" s="648"/>
      <c r="E46" s="648"/>
      <c r="F46" s="648"/>
      <c r="I46" s="82"/>
      <c r="J46" s="82"/>
    </row>
    <row r="47" spans="1:17" ht="16.5" thickTop="1">
      <c r="A47" s="626" t="s">
        <v>0</v>
      </c>
      <c r="B47" s="627"/>
      <c r="C47" s="649"/>
      <c r="D47" s="650" t="s">
        <v>56</v>
      </c>
      <c r="E47" s="651"/>
      <c r="F47" s="652"/>
      <c r="I47" s="56"/>
      <c r="J47" s="57"/>
    </row>
    <row r="48" spans="1:17" ht="18.75">
      <c r="A48" s="53" t="s">
        <v>104</v>
      </c>
      <c r="B48" s="54"/>
      <c r="C48" s="63">
        <f>(ROUND(((((D10*(133.322368421053))*(0.02896546))/((1-(((D10*133.322368421053)/(D9+273.15))*((0.00000158123)+((-0.000000029331)*(D9))+(0.00000000011043*D9^2)+(((0.000005707)+(-0.00000002051*D9))*((D11/100)*((1.00062+0.0000000314*(D10*133.322368421053)+0.00000056*D9^2)*((EXP(0.000012378847*(D9+273.15)^2+(-0.019121316*(D9+273.15))+33.93711047+(-6343.1645/(D9+273.15))))/(D10*133.322368421053)))))+((0.00019898+(-0.000002376*D9))*(((D11/100)*((1.00062+0.0000000314*(D10*133.322368421053)+0.00000056*D9^2)*((EXP(0.000012378847*(D9+273.15)^2+(-0.019121316)*(D9+273.15)+33.93711047+(-6343.1645)/(D9+273.15)))/(D10*133.322368421053))))^2))))+(((D10*133.322368421053)^2/((D9+273.15)^2)*(0.0000000000183+(-0.00000000765*(((D11/100)*((1.00062+0.0000000314*(D10*133.322368421053)+0.00000056*D9^2)*((EXP(0.000012378847*(D9+273.15)^2+(-0.019121316)*(D9+273.15)+33.93711047+(-6343.1645)/(D9+273.15)))/(D10*133.322368421053))))^2))))))*(8.314472)*(D9+273.15)))*(1-((0.378*((D11/100)*((1.00062+0.0000000314*(D10*133.322368421053)+0.00000056*D9^2)*((EXP(0.000012378847*(D9+273.15)^2+(-0.019121316)*(D9+273.15)+33.93711047+(-6343.1645)/(D9+273.15)))/(D10*133.322368421053)))))))),9))/1000</f>
        <v>1.184821756E-3</v>
      </c>
      <c r="D48" s="641" t="s">
        <v>88</v>
      </c>
      <c r="E48" s="641"/>
      <c r="F48" s="642"/>
      <c r="I48" s="55"/>
      <c r="J48" s="55"/>
    </row>
    <row r="49" spans="1:18" ht="17.25" customHeight="1">
      <c r="A49" s="53" t="s">
        <v>105</v>
      </c>
      <c r="B49" s="54"/>
      <c r="C49" s="63">
        <f>(ROUND(((((E10*(133.322368421053))*(0.02896546))/((1-(((E10*133.322368421053)/(E9+273.15))*((0.00000158123)+((-0.000000029331)*(E9))+(0.00000000011043*E9^2)+(((0.000005707)+(-0.00000002051*E9))*((E11/100)*((1.00062+0.0000000314*(E10*133.322368421053)+0.00000056*E9^2)*((EXP(0.000012378847*(E9+273.15)^2+(-0.019121316*(E9+273.15))+33.93711047+(-6343.1645/(E9+273.15))))/(E10*133.322368421053)))))+((0.00019898+(-0.000002376*E9))*(((E11/100)*((1.00062+0.0000000314*(E10*133.322368421053)+0.00000056*E9^2)*((EXP(0.000012378847*(E9+273.15)^2+(-0.019121316)*(E9+273.15)+33.93711047+(-6343.1645)/(E9+273.15)))/(E10*133.322368421053))))^2))))+(((E10*133.322368421053)^2/((E9+273.15)^2)*(0.0000000000183+(-0.00000000765*(((E11/100)*((1.00062+0.0000000314*(E10*133.322368421053)+0.00000056*E9^2)*((EXP(0.000012378847*(E9+273.15)^2+(-0.019121316)*(E9+273.15)+33.93711047+(-6343.1645)/(E9+273.15)))/(E10*133.322368421053))))^2))))))*(8.314472)*(E9+273.15)))*(1-((0.378*((E11/100)*((1.00062+0.0000000314*(E10*133.322368421053)+0.00000056*E9^2)*((EXP(0.000012378847*(E9+273.15)^2+(-0.019121316)*(E9+273.15)+33.93711047+(-6343.1645)/(E9+273.15)))/(E10*133.322368421053)))))))),9))/1000</f>
        <v>1.1831273920000001E-3</v>
      </c>
      <c r="D49" s="641" t="s">
        <v>88</v>
      </c>
      <c r="E49" s="641"/>
      <c r="F49" s="642"/>
      <c r="H49" s="115"/>
      <c r="I49" s="55"/>
      <c r="J49" s="55"/>
    </row>
    <row r="50" spans="1:18" ht="12.75">
      <c r="A50" s="660"/>
      <c r="B50" s="661"/>
      <c r="C50" s="661"/>
      <c r="D50" s="661"/>
      <c r="E50" s="661"/>
      <c r="F50" s="662"/>
      <c r="H50" s="82"/>
      <c r="I50" s="82"/>
      <c r="J50" s="82"/>
    </row>
    <row r="51" spans="1:18" ht="12.75">
      <c r="A51" s="655" t="s">
        <v>1</v>
      </c>
      <c r="B51" s="656"/>
      <c r="C51" s="657"/>
      <c r="D51" s="663" t="s">
        <v>54</v>
      </c>
      <c r="E51" s="641"/>
      <c r="F51" s="642"/>
      <c r="H51" s="82"/>
      <c r="I51" s="82"/>
      <c r="J51" s="82"/>
    </row>
    <row r="52" spans="1:18" ht="18">
      <c r="A52" s="53" t="s">
        <v>67</v>
      </c>
      <c r="B52" s="42"/>
      <c r="C52" s="92">
        <f>ROUND(((999.97495*(1-(((I35-3.983035)^2*(I35+301.797))/(522528.9*(I35+69.34881)))))/1000)+(-4.612+0.106*I35)/1000000,8)</f>
        <v>0.99797089999999999</v>
      </c>
      <c r="D52" s="641" t="s">
        <v>91</v>
      </c>
      <c r="E52" s="641"/>
      <c r="F52" s="642"/>
      <c r="H52" s="93"/>
      <c r="I52" s="82"/>
      <c r="J52" s="82"/>
    </row>
    <row r="53" spans="1:18" ht="18">
      <c r="A53" s="53" t="s">
        <v>69</v>
      </c>
      <c r="B53" s="42"/>
      <c r="C53" s="94">
        <f>ROUND(((999.97495*(1-(((I40-3.983035)^2*(I40+301.797))/(522528.9*(I40+69.34881)))))/1000)+(-4.612+0.106*I40)/1000000,8)</f>
        <v>0.99797089999999999</v>
      </c>
      <c r="D53" s="641" t="s">
        <v>91</v>
      </c>
      <c r="E53" s="641"/>
      <c r="F53" s="642"/>
      <c r="H53" s="95"/>
      <c r="I53" s="82"/>
      <c r="J53" s="82"/>
    </row>
    <row r="54" spans="1:18" ht="12.75">
      <c r="A54" s="655" t="s">
        <v>2</v>
      </c>
      <c r="B54" s="656"/>
      <c r="C54" s="657"/>
      <c r="D54" s="663" t="s">
        <v>53</v>
      </c>
      <c r="E54" s="641"/>
      <c r="F54" s="642"/>
      <c r="H54" s="96"/>
      <c r="I54" s="96"/>
      <c r="J54" s="82"/>
      <c r="M54" s="515"/>
      <c r="N54" s="515"/>
      <c r="O54" s="515"/>
      <c r="P54" s="515"/>
      <c r="Q54" s="515"/>
      <c r="R54" s="515"/>
    </row>
    <row r="55" spans="1:18" ht="12.75">
      <c r="A55" s="53" t="s">
        <v>42</v>
      </c>
      <c r="B55" s="42"/>
      <c r="C55" s="62">
        <f>ROUND(1-$B$7*1.8*(I35-(($D$7-32)*5/9)),6)</f>
        <v>0.99973599999999996</v>
      </c>
      <c r="D55" s="664" t="s">
        <v>135</v>
      </c>
      <c r="E55" s="641"/>
      <c r="F55" s="642"/>
      <c r="H55" s="96"/>
      <c r="I55" s="96"/>
      <c r="J55" s="82"/>
      <c r="M55" s="515"/>
      <c r="N55" s="515"/>
      <c r="O55" s="515"/>
      <c r="P55" s="515"/>
      <c r="Q55" s="515"/>
      <c r="R55" s="515"/>
    </row>
    <row r="56" spans="1:18" ht="12.75">
      <c r="A56" s="53" t="s">
        <v>43</v>
      </c>
      <c r="B56" s="42"/>
      <c r="C56" s="62">
        <f>ROUND(1-$B$7*1.8*(I40-(($D$7-32)*5/9)),6)</f>
        <v>0.99973599999999996</v>
      </c>
      <c r="D56" s="664" t="s">
        <v>135</v>
      </c>
      <c r="E56" s="641"/>
      <c r="F56" s="642"/>
      <c r="H56" s="96"/>
      <c r="I56" s="97"/>
      <c r="J56" s="82"/>
      <c r="M56" s="515"/>
      <c r="N56" s="515"/>
      <c r="O56" s="515"/>
      <c r="P56" s="515"/>
      <c r="Q56" s="515"/>
      <c r="R56" s="515"/>
    </row>
    <row r="57" spans="1:18" ht="26.25" customHeight="1">
      <c r="A57" s="655" t="s">
        <v>83</v>
      </c>
      <c r="B57" s="656"/>
      <c r="C57" s="657"/>
      <c r="D57" s="665"/>
      <c r="E57" s="666"/>
      <c r="F57" s="667"/>
      <c r="G57" s="617"/>
      <c r="H57" s="618"/>
      <c r="I57" s="96"/>
      <c r="J57" s="82"/>
      <c r="M57" s="515"/>
      <c r="N57" s="515"/>
      <c r="O57" s="515"/>
      <c r="P57" s="515"/>
      <c r="Q57" s="515"/>
      <c r="R57" s="515"/>
    </row>
    <row r="58" spans="1:18" ht="12.75">
      <c r="A58" s="53" t="s">
        <v>84</v>
      </c>
      <c r="B58" s="42"/>
      <c r="C58" s="116">
        <f>(((D35/D34)*(B28+C28)*(1-C48/G28))-((D33/D32)*(B20+C20)*(1-C48/G20)))*(1/(C52-C48))</f>
        <v>18933.374392696438</v>
      </c>
      <c r="D58" s="414" t="s">
        <v>39</v>
      </c>
      <c r="E58" s="415"/>
      <c r="F58" s="416"/>
      <c r="H58" s="96"/>
      <c r="I58" s="98"/>
      <c r="J58" s="82"/>
      <c r="M58" s="515"/>
      <c r="N58" s="515"/>
      <c r="O58" s="515"/>
      <c r="P58" s="515"/>
      <c r="Q58" s="515"/>
      <c r="R58" s="515"/>
    </row>
    <row r="59" spans="1:18" ht="12.75">
      <c r="A59" s="53" t="s">
        <v>85</v>
      </c>
      <c r="B59" s="42"/>
      <c r="C59" s="61">
        <f>((D40/D39)*(B28+C28)*(1-C49/G28)-(D38/D37)*(B20+C20)*(1-C49/G20))*(1/(C53-C49))</f>
        <v>18928.37907994791</v>
      </c>
      <c r="D59" s="414" t="s">
        <v>39</v>
      </c>
      <c r="E59" s="415"/>
      <c r="F59" s="416"/>
      <c r="H59" s="96"/>
      <c r="I59" s="96"/>
      <c r="J59" s="82"/>
      <c r="M59" s="515"/>
      <c r="N59" s="515"/>
      <c r="O59" s="515"/>
      <c r="P59" s="515"/>
      <c r="Q59" s="515"/>
      <c r="R59" s="515"/>
    </row>
    <row r="60" spans="1:18" ht="12.75">
      <c r="A60" s="87"/>
      <c r="B60" s="413"/>
      <c r="C60" s="80"/>
      <c r="D60" s="414"/>
      <c r="E60" s="415"/>
      <c r="F60" s="416"/>
      <c r="H60" s="96"/>
      <c r="I60" s="96"/>
      <c r="J60" s="82"/>
      <c r="M60" s="515"/>
      <c r="N60" s="515"/>
      <c r="O60" s="515"/>
      <c r="P60" s="515"/>
      <c r="Q60" s="515"/>
      <c r="R60" s="515"/>
    </row>
    <row r="61" spans="1:18" ht="12.75">
      <c r="A61" s="655" t="s">
        <v>137</v>
      </c>
      <c r="B61" s="656"/>
      <c r="C61" s="657"/>
      <c r="D61" s="414"/>
      <c r="E61" s="415"/>
      <c r="F61" s="416"/>
      <c r="H61" s="96"/>
      <c r="I61" s="96"/>
      <c r="J61" s="82"/>
      <c r="M61" s="515"/>
      <c r="N61" s="515"/>
      <c r="O61" s="515"/>
      <c r="P61" s="515"/>
      <c r="Q61" s="515"/>
      <c r="R61" s="515"/>
    </row>
    <row r="62" spans="1:18" ht="14.25">
      <c r="A62" s="668" t="s">
        <v>133</v>
      </c>
      <c r="B62" s="669"/>
      <c r="C62" s="61">
        <f>C58*C55</f>
        <v>18928.375981856767</v>
      </c>
      <c r="D62" s="417" t="s">
        <v>117</v>
      </c>
      <c r="E62" s="415"/>
      <c r="F62" s="416"/>
      <c r="H62" s="96"/>
      <c r="I62" s="96"/>
      <c r="J62" s="82"/>
      <c r="M62" s="515"/>
      <c r="N62" s="515"/>
      <c r="O62" s="515"/>
      <c r="P62" s="515"/>
      <c r="Q62" s="515"/>
      <c r="R62" s="515"/>
    </row>
    <row r="63" spans="1:18" ht="15" thickBot="1">
      <c r="A63" s="624" t="s">
        <v>134</v>
      </c>
      <c r="B63" s="625"/>
      <c r="C63" s="76">
        <f>C59*C56</f>
        <v>18923.381987870802</v>
      </c>
      <c r="D63" s="77" t="s">
        <v>118</v>
      </c>
      <c r="E63" s="74"/>
      <c r="F63" s="75"/>
      <c r="G63" s="119"/>
      <c r="H63" s="96"/>
      <c r="I63" s="96"/>
      <c r="J63" s="82"/>
      <c r="M63" s="515"/>
      <c r="N63" s="515"/>
      <c r="O63" s="515"/>
      <c r="P63" s="515"/>
      <c r="Q63" s="515"/>
      <c r="R63" s="515"/>
    </row>
    <row r="64" spans="1:18" ht="13.5" thickTop="1">
      <c r="A64" s="626" t="s">
        <v>113</v>
      </c>
      <c r="B64" s="627"/>
      <c r="C64" s="628"/>
      <c r="D64" s="629"/>
      <c r="E64" s="630"/>
      <c r="F64" s="631"/>
      <c r="G64" s="119"/>
      <c r="H64" s="96"/>
      <c r="I64" s="96"/>
      <c r="J64" s="82"/>
      <c r="M64" s="515"/>
      <c r="N64" s="515"/>
      <c r="O64" s="515"/>
      <c r="P64" s="515"/>
      <c r="Q64" s="515"/>
      <c r="R64" s="515"/>
    </row>
    <row r="65" spans="1:18" ht="15.75">
      <c r="A65" s="78" t="s">
        <v>116</v>
      </c>
      <c r="B65" s="42"/>
      <c r="C65" s="59">
        <f>STDEV(C62:C63)</f>
        <v>3.5312870126807314</v>
      </c>
      <c r="D65" s="632" t="s">
        <v>119</v>
      </c>
      <c r="E65" s="633"/>
      <c r="F65" s="634"/>
      <c r="G65" s="119"/>
      <c r="H65" s="118"/>
      <c r="I65" s="96"/>
      <c r="J65" s="82"/>
      <c r="M65" s="515"/>
      <c r="N65" s="515"/>
      <c r="O65" s="515"/>
      <c r="P65" s="515"/>
      <c r="Q65" s="515"/>
      <c r="R65" s="515"/>
    </row>
    <row r="66" spans="1:18" ht="12.75">
      <c r="A66" s="99" t="s">
        <v>136</v>
      </c>
      <c r="B66" s="100"/>
      <c r="C66" s="101">
        <f>B11</f>
        <v>1.4</v>
      </c>
      <c r="D66" s="619" t="str">
        <f>IF(C66=0,"Incomplete",IF(C65&lt;(C66*3),"Difference is less than Control Limits, Pass", "Fail"))</f>
        <v>Difference is less than Control Limits, Pass</v>
      </c>
      <c r="E66" s="619"/>
      <c r="F66" s="620"/>
      <c r="G66" s="119"/>
      <c r="H66" s="118"/>
      <c r="I66" s="82"/>
      <c r="J66" s="82"/>
      <c r="M66" s="515"/>
      <c r="N66" s="515"/>
      <c r="O66" s="515"/>
      <c r="P66" s="515"/>
      <c r="Q66" s="515"/>
      <c r="R66" s="515"/>
    </row>
    <row r="67" spans="1:18" ht="13.5" thickBot="1">
      <c r="A67" s="102"/>
      <c r="B67" s="103"/>
      <c r="C67" s="103"/>
      <c r="D67" s="621"/>
      <c r="E67" s="622"/>
      <c r="F67" s="623"/>
      <c r="G67" s="119"/>
      <c r="H67" s="82"/>
      <c r="I67" s="82"/>
      <c r="J67" s="82"/>
      <c r="M67" s="515"/>
      <c r="N67" s="515"/>
      <c r="O67" s="515"/>
      <c r="P67" s="515"/>
      <c r="Q67" s="515"/>
      <c r="R67" s="515"/>
    </row>
    <row r="68" spans="1:18" ht="14.25" thickTop="1" thickBot="1">
      <c r="G68" s="119"/>
      <c r="H68" s="82"/>
      <c r="I68" s="119"/>
      <c r="M68" s="515"/>
      <c r="N68" s="515"/>
      <c r="O68" s="515"/>
      <c r="P68" s="515"/>
      <c r="Q68" s="515"/>
      <c r="R68" s="515"/>
    </row>
    <row r="69" spans="1:18" ht="14.25" thickTop="1" thickBot="1">
      <c r="A69" s="516" t="s">
        <v>463</v>
      </c>
      <c r="B69" s="505" t="s">
        <v>464</v>
      </c>
      <c r="C69" s="517"/>
      <c r="D69" s="517"/>
      <c r="E69" s="612" t="s">
        <v>465</v>
      </c>
      <c r="F69" s="613"/>
      <c r="G69" s="614"/>
      <c r="H69" s="615"/>
      <c r="I69" s="615"/>
      <c r="J69" s="615"/>
      <c r="K69" s="616"/>
      <c r="L69" s="517"/>
      <c r="M69" s="515"/>
      <c r="N69" s="515"/>
      <c r="O69" s="515"/>
      <c r="P69" s="515"/>
      <c r="Q69" s="515"/>
      <c r="R69" s="515"/>
    </row>
    <row r="70" spans="1:18" ht="16.5" thickTop="1" thickBot="1">
      <c r="A70" s="658" t="s">
        <v>466</v>
      </c>
      <c r="B70" s="658"/>
      <c r="C70" s="658"/>
      <c r="D70" s="658"/>
      <c r="E70" s="658"/>
      <c r="F70" s="658"/>
      <c r="G70" s="518"/>
      <c r="H70" s="659" t="s">
        <v>467</v>
      </c>
      <c r="I70" s="659"/>
      <c r="J70" s="659"/>
      <c r="K70" s="659"/>
      <c r="L70" s="517"/>
      <c r="M70" s="519"/>
    </row>
    <row r="71" spans="1:18" ht="53.25" customHeight="1" thickTop="1" thickBot="1">
      <c r="A71" s="520" t="s">
        <v>468</v>
      </c>
      <c r="B71" s="521" t="s">
        <v>469</v>
      </c>
      <c r="C71" s="521" t="s">
        <v>470</v>
      </c>
      <c r="D71" s="521" t="s">
        <v>148</v>
      </c>
      <c r="E71" s="522" t="s">
        <v>471</v>
      </c>
      <c r="F71" s="521" t="s">
        <v>472</v>
      </c>
      <c r="G71" s="521" t="s">
        <v>473</v>
      </c>
      <c r="H71" s="521" t="s">
        <v>474</v>
      </c>
      <c r="I71" s="521" t="s">
        <v>234</v>
      </c>
      <c r="J71" s="521" t="s">
        <v>475</v>
      </c>
      <c r="K71" s="521" t="s">
        <v>476</v>
      </c>
      <c r="L71" s="523" t="s">
        <v>477</v>
      </c>
      <c r="M71" s="524" t="s">
        <v>478</v>
      </c>
    </row>
    <row r="72" spans="1:18" ht="15.75" thickTop="1">
      <c r="A72" s="535" t="s">
        <v>45</v>
      </c>
      <c r="B72" s="549" t="s">
        <v>507</v>
      </c>
      <c r="C72" s="500">
        <f>(F28^2+F20^2)^0.5</f>
        <v>1.5808944771868868E-3</v>
      </c>
      <c r="D72" s="539" t="s">
        <v>44</v>
      </c>
      <c r="E72" s="487">
        <v>20</v>
      </c>
      <c r="F72" s="500">
        <f>C72/C52</f>
        <v>1.5841087923374186E-3</v>
      </c>
      <c r="G72" s="501" t="s">
        <v>26</v>
      </c>
      <c r="H72" s="476" t="s">
        <v>236</v>
      </c>
      <c r="I72" s="481">
        <f>IF(A72="","",IF(F72="","Finish",IF(H72="","",VLOOKUP(H72,'Lookup Tables'!C6:D13,2,))))</f>
        <v>1</v>
      </c>
      <c r="J72" s="495">
        <f t="shared" ref="J72:J85" si="0">IF(A72="","",IF(F72="","Finish",IF(I72="","",F72/I72)))</f>
        <v>1.5841087923374186E-3</v>
      </c>
      <c r="K72" s="482">
        <f>IF(J72="","",IF(J72="Finish","Finish",J72^2/SUMSQ($J$72:$J$85)))</f>
        <v>1.1822367057016969E-6</v>
      </c>
      <c r="L72" s="489"/>
      <c r="M72" s="525">
        <f>IF(J72="","",J72^4/E72)</f>
        <v>3.1485458511620395E-13</v>
      </c>
    </row>
    <row r="73" spans="1:18" ht="18.75" customHeight="1">
      <c r="A73" s="536" t="s">
        <v>120</v>
      </c>
      <c r="B73" s="550" t="s">
        <v>508</v>
      </c>
      <c r="C73" s="506">
        <f>0.000000000000001</f>
        <v>1.0000000000000001E-15</v>
      </c>
      <c r="D73" s="540" t="s">
        <v>39</v>
      </c>
      <c r="E73" s="487">
        <v>10</v>
      </c>
      <c r="F73" s="502">
        <f>C73*16.387064</f>
        <v>1.6387063999999999E-14</v>
      </c>
      <c r="G73" s="501" t="s">
        <v>27</v>
      </c>
      <c r="H73" s="476" t="s">
        <v>52</v>
      </c>
      <c r="I73" s="481">
        <f>IF(A73="","",IF(F73="","Finish",IF(H73="","",VLOOKUP(H73,'Lookup Tables'!C6:D13,2,))))</f>
        <v>1.7320508075688772</v>
      </c>
      <c r="J73" s="495">
        <f t="shared" si="0"/>
        <v>9.4610758116276254E-15</v>
      </c>
      <c r="K73" s="482">
        <f t="shared" ref="K73:K83" si="1">IF(J73="","",IF(J73="Finish","Finish",J73^2/SUMSQ($J$72:$J$85)))</f>
        <v>4.2171152993825889E-29</v>
      </c>
      <c r="L73" s="490"/>
      <c r="M73" s="526">
        <f>IF(J73="","",J73^4/E73)</f>
        <v>8.0123901798266938E-58</v>
      </c>
    </row>
    <row r="74" spans="1:18" ht="15">
      <c r="A74" s="536" t="s">
        <v>96</v>
      </c>
      <c r="B74" s="550" t="s">
        <v>509</v>
      </c>
      <c r="C74" s="497">
        <f>B11</f>
        <v>1.4</v>
      </c>
      <c r="D74" s="540" t="s">
        <v>39</v>
      </c>
      <c r="E74" s="487">
        <v>10</v>
      </c>
      <c r="F74" s="502">
        <f>C74</f>
        <v>1.4</v>
      </c>
      <c r="G74" s="501" t="s">
        <v>27</v>
      </c>
      <c r="H74" s="476" t="s">
        <v>236</v>
      </c>
      <c r="I74" s="481">
        <f>IF(A74="","",IF(F74="","Finish",IF(H74="","",VLOOKUP(H74,'Lookup Tables'!C6:D13,2,))))</f>
        <v>1</v>
      </c>
      <c r="J74" s="495">
        <f t="shared" si="0"/>
        <v>1.4</v>
      </c>
      <c r="K74" s="482">
        <f t="shared" si="1"/>
        <v>0.92340134224368675</v>
      </c>
      <c r="L74" s="490"/>
      <c r="M74" s="526">
        <f t="shared" ref="M74:M85" si="2">IF(J74="","",J74^4/E74)</f>
        <v>0.38415999999999989</v>
      </c>
    </row>
    <row r="75" spans="1:18" ht="15">
      <c r="A75" s="536" t="s">
        <v>47</v>
      </c>
      <c r="B75" s="550" t="s">
        <v>510</v>
      </c>
      <c r="C75" s="498">
        <f>F12</f>
        <v>0.1</v>
      </c>
      <c r="D75" s="540" t="s">
        <v>12</v>
      </c>
      <c r="E75" s="487">
        <v>10</v>
      </c>
      <c r="F75" s="503">
        <f>(C58*C55)-(C58*N78)+(D35/D34)*(B28+C28)/D33*(1-C48/G28)*(1/(C52-C48))-(D35/D34)*(B28+C28)/D33*(1-C48/G28)*(1/(O78-C48))</f>
        <v>9.4563788203489985E-2</v>
      </c>
      <c r="G75" s="501" t="s">
        <v>27</v>
      </c>
      <c r="H75" s="476" t="s">
        <v>52</v>
      </c>
      <c r="I75" s="481">
        <f>IF(A75="","",IF(F75="","Finish",IF(H75="","",VLOOKUP(H75,'Lookup Tables'!C6:D13,2,))))</f>
        <v>1.7320508075688772</v>
      </c>
      <c r="J75" s="495">
        <f t="shared" si="0"/>
        <v>5.4596428574875705E-2</v>
      </c>
      <c r="K75" s="482">
        <f t="shared" si="1"/>
        <v>1.404309709717022E-3</v>
      </c>
      <c r="L75" s="490"/>
      <c r="M75" s="526">
        <f t="shared" si="2"/>
        <v>8.8849898711839877E-7</v>
      </c>
    </row>
    <row r="76" spans="1:18" ht="15.75" thickBot="1">
      <c r="A76" s="536" t="s">
        <v>55</v>
      </c>
      <c r="B76" s="550" t="s">
        <v>511</v>
      </c>
      <c r="C76" s="499">
        <v>9.9999999999999995E-7</v>
      </c>
      <c r="D76" s="540" t="s">
        <v>86</v>
      </c>
      <c r="E76" s="487">
        <v>10</v>
      </c>
      <c r="F76" s="503">
        <f>(C58*C55)-(C58*N79)</f>
        <v>0.11360024635723676</v>
      </c>
      <c r="G76" s="501" t="s">
        <v>27</v>
      </c>
      <c r="H76" s="476" t="s">
        <v>52</v>
      </c>
      <c r="I76" s="481">
        <f>IF(A76="","",IF(F76="","Finish",IF(H76="","",VLOOKUP(H76,'Lookup Tables'!C6:D13,2,))))</f>
        <v>1.7320508075688772</v>
      </c>
      <c r="J76" s="495">
        <f t="shared" si="0"/>
        <v>6.5587132814358448E-2</v>
      </c>
      <c r="K76" s="482">
        <f t="shared" si="1"/>
        <v>2.0266171888798225E-3</v>
      </c>
      <c r="L76" s="490"/>
      <c r="M76" s="526">
        <f t="shared" si="2"/>
        <v>1.8504381916504597E-6</v>
      </c>
    </row>
    <row r="77" spans="1:18" ht="16.5" thickTop="1" thickBot="1">
      <c r="A77" s="536" t="s">
        <v>24</v>
      </c>
      <c r="B77" s="550" t="s">
        <v>512</v>
      </c>
      <c r="C77" s="499">
        <v>8.2999999999999999E-7</v>
      </c>
      <c r="D77" s="540" t="s">
        <v>149</v>
      </c>
      <c r="E77" s="487">
        <v>10</v>
      </c>
      <c r="F77" s="504">
        <f>(($D$35/$D$34)*($B$28+$C$28)*(1-$C$48/$G$28)-($D$33/$D$32)*($B$20+$C$20)*(1-$C$48/$G$20))*(1/($C$52-$C$48))-(($D$35/$D$34)*($B$28+$C$28)*(1-$C$48/$G$28)-($D$33/$D$32)*($B$20+$C$20)*(1-$C$48/$G$20))*(1/($N$80-$C$48))</f>
        <v>1.5765356278279796E-2</v>
      </c>
      <c r="G77" s="501" t="s">
        <v>27</v>
      </c>
      <c r="H77" s="476" t="s">
        <v>52</v>
      </c>
      <c r="I77" s="481">
        <f>IF(A77="","",IF(F77="","Finish",IF(H77="","",VLOOKUP(H77,'Lookup Tables'!C6:D13,2,))))</f>
        <v>1.7320508075688772</v>
      </c>
      <c r="J77" s="495">
        <f t="shared" si="0"/>
        <v>9.1021326911351983E-3</v>
      </c>
      <c r="K77" s="482">
        <f t="shared" si="1"/>
        <v>3.9031995487023671E-5</v>
      </c>
      <c r="L77" s="490"/>
      <c r="M77" s="526">
        <f t="shared" si="2"/>
        <v>6.8639268970227323E-10</v>
      </c>
      <c r="N77" s="711" t="s">
        <v>95</v>
      </c>
      <c r="O77" s="712"/>
    </row>
    <row r="78" spans="1:18" ht="15.75" thickTop="1">
      <c r="A78" s="536" t="s">
        <v>101</v>
      </c>
      <c r="B78" s="550" t="s">
        <v>513</v>
      </c>
      <c r="C78" s="498">
        <f>F9</f>
        <v>0.1</v>
      </c>
      <c r="D78" s="540" t="s">
        <v>12</v>
      </c>
      <c r="E78" s="487">
        <v>10</v>
      </c>
      <c r="F78" s="504">
        <f>(($D$35/$D$34)*($B$28+$C$28)*(1-C48/$G$28)-($D$33/$D$32)*($B$20+$C$20)*(1-C48/$G$20))*(1/($C$52-$N$81))-(($D$35/$D$34)*($B$28+$C$28)*(1-$N$81/$G$28)-($D$33/$D$32)*($B$20+$C$20)*(1-$N$81/$G$20))*(1/($C$52-$N$81))</f>
        <v>-3.0351886307471432E-3</v>
      </c>
      <c r="G78" s="501" t="s">
        <v>27</v>
      </c>
      <c r="H78" s="476" t="s">
        <v>52</v>
      </c>
      <c r="I78" s="481">
        <f>IF(A78="","",IF(F78="","Finish",IF(H78="","",VLOOKUP(H78,'Lookup Tables'!C6:D13,2,))))</f>
        <v>1.7320508075688772</v>
      </c>
      <c r="J78" s="495">
        <f t="shared" si="0"/>
        <v>-1.7523669730031548E-3</v>
      </c>
      <c r="K78" s="482">
        <f t="shared" si="1"/>
        <v>1.4467202118379633E-6</v>
      </c>
      <c r="L78" s="490"/>
      <c r="M78" s="526">
        <f t="shared" si="2"/>
        <v>9.4297512736763052E-13</v>
      </c>
      <c r="N78" s="466">
        <f>ROUND((1-B7*1.8*((I35+C75)-(D7-32)*5/9)),6)</f>
        <v>0.99973100000000004</v>
      </c>
      <c r="O78" s="467">
        <f>ROUND(((999.97495*(1-(((I35+C75-3.983035)^2*(I35+C75+301.797))/(522528.9*(I35+C75+69.34881)))))/1000)+(-4.612+0.106*I35+C75)/1000000,8)</f>
        <v>0.99794914999999995</v>
      </c>
    </row>
    <row r="79" spans="1:18" ht="15">
      <c r="A79" s="536" t="s">
        <v>48</v>
      </c>
      <c r="B79" s="550" t="s">
        <v>514</v>
      </c>
      <c r="C79" s="498">
        <f>F10</f>
        <v>0.5</v>
      </c>
      <c r="D79" s="540" t="s">
        <v>9</v>
      </c>
      <c r="E79" s="487">
        <v>10</v>
      </c>
      <c r="F79" s="504">
        <f>(($D$35/$D$34)*($B$28+$C$28)*(1-C48/$G$28)-($D$33/$D$32)*($B$20+$C$20)*(1-C48/$G$20))*(1/($C$52-$N$82))-(($D$35/$D$34)*($B$28+$C$28)*(1-$N$82/$G$28)-($D$33/$D$32)*($B$20+$C$20)*(1-$N$82/$G$20))*(1/($C$52-$N$82))</f>
        <v>-1.3182183465687558E-4</v>
      </c>
      <c r="G79" s="501" t="s">
        <v>27</v>
      </c>
      <c r="H79" s="476" t="s">
        <v>52</v>
      </c>
      <c r="I79" s="481">
        <f>IF(A79="","",IF(F79="","Finish",IF(H79="","",VLOOKUP(H79,'Lookup Tables'!C6:D13,2,))))</f>
        <v>1.7320508075688772</v>
      </c>
      <c r="J79" s="495">
        <f t="shared" si="0"/>
        <v>-7.6107371724217456E-5</v>
      </c>
      <c r="K79" s="482">
        <f t="shared" si="1"/>
        <v>2.7289016183328929E-9</v>
      </c>
      <c r="L79" s="490"/>
      <c r="M79" s="526">
        <f t="shared" si="2"/>
        <v>3.3551110354663427E-18</v>
      </c>
      <c r="N79" s="104">
        <f>ROUND(1-((B7*1.8+C76)*(I35-((D7-32)*5/9))),6)</f>
        <v>0.99973000000000001</v>
      </c>
      <c r="O79" s="459"/>
    </row>
    <row r="80" spans="1:18" ht="15">
      <c r="A80" s="536" t="s">
        <v>49</v>
      </c>
      <c r="B80" s="550" t="s">
        <v>515</v>
      </c>
      <c r="C80" s="498">
        <f>F11</f>
        <v>2</v>
      </c>
      <c r="D80" s="540" t="s">
        <v>15</v>
      </c>
      <c r="E80" s="487">
        <v>10</v>
      </c>
      <c r="F80" s="504">
        <f>(($D$35/$D$34)*($B$28+$C$28)*(1-C48/$G$28)-($D$33/$D$32)*($B$20+$C$20)*(1-C48/$G$20))*(1/($C$52-$N$83))-(($D$35/$D$34)*($B$28+$C$28)*(1-$N$83/$G$28)-($D$33/$D$32)*($B$20+$C$20)*(1-$N$83/$G$20))*(1/($C$52-$N$83))</f>
        <v>-2.5211506981577259E-3</v>
      </c>
      <c r="G80" s="501" t="s">
        <v>27</v>
      </c>
      <c r="H80" s="476" t="s">
        <v>52</v>
      </c>
      <c r="I80" s="481">
        <f>IF(A80="","",IF(F80="","Finish",IF(H80="","",VLOOKUP(H80,'Lookup Tables'!C6:D13,2,))))</f>
        <v>1.7320508075688772</v>
      </c>
      <c r="J80" s="495">
        <f t="shared" si="0"/>
        <v>-1.455587034248976E-3</v>
      </c>
      <c r="K80" s="482">
        <f t="shared" si="1"/>
        <v>9.9818442003937756E-7</v>
      </c>
      <c r="L80" s="490"/>
      <c r="M80" s="526">
        <f t="shared" si="2"/>
        <v>4.4890321282534206E-13</v>
      </c>
      <c r="N80" s="104">
        <f>C52+C77</f>
        <v>0.99797172999999995</v>
      </c>
      <c r="O80" s="459"/>
    </row>
    <row r="81" spans="1:15" ht="15">
      <c r="A81" s="537" t="s">
        <v>50</v>
      </c>
      <c r="B81" s="550" t="s">
        <v>516</v>
      </c>
      <c r="C81" s="498">
        <f>0.000022*AVERAGE(C48:C49)</f>
        <v>2.6047440628000001E-8</v>
      </c>
      <c r="D81" s="540" t="s">
        <v>150</v>
      </c>
      <c r="E81" s="487">
        <v>10</v>
      </c>
      <c r="F81" s="504">
        <f>(($D$35/$D$34)*($B$28+$C$28)*(1-C48/$G$28)-($D$33/$D$32)*($B$20+$C$20)*(1-C48/$G$20))*(1/($C$52-$C$48))-(($D$35/$D$34)*($B$28+$C$28)*(1-($C$48+C81)/$G$28)-($D$33/$D$32)*($B$20+$C$20)*(1-($C$48+C81)/$G$20))*(1/($C$52-($C$48+C81)))</f>
        <v>-4.3310119508532807E-4</v>
      </c>
      <c r="G81" s="501" t="s">
        <v>27</v>
      </c>
      <c r="H81" s="476" t="s">
        <v>236</v>
      </c>
      <c r="I81" s="481">
        <f>IF(A81="","",IF(F81="","Finish",IF(H81="","",VLOOKUP(H81,'Lookup Tables'!C6:D13,2,))))</f>
        <v>1</v>
      </c>
      <c r="J81" s="495">
        <f t="shared" si="0"/>
        <v>-4.3310119508532807E-4</v>
      </c>
      <c r="K81" s="482">
        <f t="shared" si="1"/>
        <v>8.8371696906523884E-8</v>
      </c>
      <c r="L81" s="490"/>
      <c r="M81" s="526">
        <f t="shared" si="2"/>
        <v>3.5184997818611563E-15</v>
      </c>
      <c r="N81" s="463">
        <f>(ROUND(((((G10*(133.322368421053))*(0.02896546))/((1-(((G10*133.322368421053)/(O81+273.15))*((0.00000158123)+((-0.000000029331)*(O81))+(0.00000000011043*O81^2)+(((0.000005707)+(-0.00000002051*O81))*((G11/100)*((1.00062+0.0000000314*(G10*133.322368421053)+0.00000056*O81^2)*((EXP(0.000012378847*(O81+273.15)^2+(-0.019121316*(O81+273.15))+33.93711047+(-6343.1645/(O81+273.15))))/(G10*133.322368421053)))))+((0.00019898+(-0.000002376*O81))*(((G11/100)*((1.00062+0.0000000314*(G10*133.322368421053)+0.00000056*O81^2)*((EXP(0.000012378847*(O81+273.15)^2+(-0.019121316)*(O81+273.15)+33.93711047+(-6343.1645)/(O81+273.15)))/(G10*133.322368421053))))^2))))+(((G10*133.322368421053)^2/((O81+273.15)^2)*(0.0000000000183+(-0.00000000765*(((G11/100)*((1.00062+0.0000000314*(G10*133.322368421053)+0.00000056*O81^2)*((EXP(0.000012378847*(O81+273.15)^2+(-0.019121316)*(O81+273.15)+33.93711047+(-6343.1645)/(O81+273.15)))/(G10*133.322368421053))))^2))))))*(8.314472)*(O81+273.15)))*(1-((0.378*((G11/100)*((1.00062+0.0000000314*(G10*133.322368421053)+0.00000056*O81^2)*((EXP(0.000012378847*(O81+273.15)^2+(-0.019121316)*(O81+273.15)+33.93711047+(-6343.1645)/(O81+273.15)))/(G10*133.322368421053)))))))),9))/1000</f>
        <v>1.183539473E-3</v>
      </c>
      <c r="O81" s="460">
        <f>(G9+C78)</f>
        <v>20.845000000000002</v>
      </c>
    </row>
    <row r="82" spans="1:15" ht="15">
      <c r="A82" s="538" t="s">
        <v>142</v>
      </c>
      <c r="B82" s="550" t="s">
        <v>518</v>
      </c>
      <c r="C82" s="498">
        <f>(I35-((D7-32)/1.8))*0.013*0.0005</f>
        <v>3.6038888888888896E-5</v>
      </c>
      <c r="D82" s="540"/>
      <c r="E82" s="488">
        <v>10</v>
      </c>
      <c r="F82" s="498">
        <f>C82*C62</f>
        <v>0.68215763885724934</v>
      </c>
      <c r="G82" s="501" t="s">
        <v>27</v>
      </c>
      <c r="H82" s="476" t="s">
        <v>52</v>
      </c>
      <c r="I82" s="481">
        <f>IF(A82="","",IF(F82="","Finish",IF(H82="","",VLOOKUP(H82,'Lookup Tables'!C6:D13,2,))))</f>
        <v>1.7320508075688772</v>
      </c>
      <c r="J82" s="495">
        <f t="shared" si="0"/>
        <v>0.39384389642399242</v>
      </c>
      <c r="K82" s="482">
        <f t="shared" si="1"/>
        <v>7.3077329602048033E-2</v>
      </c>
      <c r="L82" s="490"/>
      <c r="M82" s="526">
        <f t="shared" si="2"/>
        <v>2.4060047344967878E-3</v>
      </c>
      <c r="N82" s="463">
        <f>(ROUND(((((O82*(133.322368421053))*(0.02896546))/((1-(((O82*133.322368421053)/(G9+273.15))*((0.00000158123)+((-0.000000029331)*(G9))+(0.00000000011043*G9^2)+(((0.000005707)+(-0.00000002051*G9))*((G11/100)*((1.00062+0.0000000314*(O82*133.322368421053)+0.00000056*G9^2)*((EXP(0.000012378847*(G9+273.15)^2+(-0.019121316*(G9+273.15))+33.93711047+(-6343.1645/(G9+273.15))))/(O82*133.322368421053)))))+((0.00019898+(-0.000002376*G9))*(((G11/100)*((1.00062+0.0000000314*(O82*133.322368421053)+0.00000056*G9^2)*((EXP(0.000012378847*(G9+273.15)^2+(-0.019121316)*(G9+273.15)+33.93711047+(-6343.1645)/(G9+273.15)))/(O82*133.322368421053))))^2))))+(((O82*133.322368421053)^2/((G9+273.15)^2)*(0.0000000000183+(-0.00000000765*(((G11/100)*((1.00062+0.0000000314*(O82*133.322368421053)+0.00000056*G9^2)*((EXP(0.000012378847*(G9+273.15)^2+(-0.019121316)*(G9+273.15)+33.93711047+(-6343.1645)/(G9+273.15)))/(O82*133.322368421053))))^2))))))*(8.314472)*(G9+273.15)))*(1-((0.378*((G11/100)*((1.00062+0.0000000314*(O82*133.322368421053)+0.00000056*G9^2)*((EXP(0.000012378847*(G9+273.15)^2+(-0.019121316)*(G9+273.15)+33.93711047+(-6343.1645)/(G9+273.15)))/(O82*133.322368421053)))))))),9))/1000</f>
        <v>1.184766065E-3</v>
      </c>
      <c r="O82" s="460">
        <f>(G10+C79)</f>
        <v>752.7</v>
      </c>
    </row>
    <row r="83" spans="1:15" ht="15">
      <c r="A83" s="538" t="s">
        <v>51</v>
      </c>
      <c r="B83" s="550" t="s">
        <v>517</v>
      </c>
      <c r="C83" s="499">
        <v>0.05</v>
      </c>
      <c r="D83" s="540" t="s">
        <v>149</v>
      </c>
      <c r="E83" s="496">
        <v>10</v>
      </c>
      <c r="F83" s="504">
        <f>(($D$35/$D$34)*($B$28+$C$28)*(1-C48/$G$28)-($D$33/$D$32)*($B$20+$C$20)*(1-C48/$G$20))*(1/($C$52-$C$48))-(($D$35/$D$34)*($B$28+$C$28)*(1-($C$48)/($G$28+C83))-($D$33/$D$32)*($B$20+$C$20)*(1-($C$48)/($G$20+C83)))*(1/($C$52-($C$48)))</f>
        <v>-1.7419252118997974E-2</v>
      </c>
      <c r="G83" s="501" t="s">
        <v>27</v>
      </c>
      <c r="H83" s="476" t="s">
        <v>236</v>
      </c>
      <c r="I83" s="481">
        <f>IF(A82="","",IF(F82="","Finish",IF(H82="","",VLOOKUP(H82,'Lookup Tables'!C6:D13,2,))))</f>
        <v>1.7320508075688772</v>
      </c>
      <c r="J83" s="495">
        <f t="shared" si="0"/>
        <v>-1.0057009899985441E-2</v>
      </c>
      <c r="K83" s="482">
        <f t="shared" si="1"/>
        <v>4.7651018245369416E-5</v>
      </c>
      <c r="L83" s="490"/>
      <c r="M83" s="526">
        <f t="shared" si="2"/>
        <v>1.0229997099303386E-9</v>
      </c>
      <c r="N83" s="463">
        <f>(ROUND(((((G10*(133.322368421053))*(0.02896546))/((1-(((G10*133.322368421053)/(G9+273.15))*((0.00000158123)+((-0.000000029331)*(G9))+(0.00000000011043*G9^2)+(((0.000005707)+(-0.00000002051*G9))*((O83/100)*((1.00062+0.0000000314*(G10*133.322368421053)+0.00000056*G9^2)*((EXP(0.000012378847*(G9+273.15)^2+(-0.019121316*(G9+273.15))+33.93711047+(-6343.1645/(G9+273.15))))/(G10*133.322368421053)))))+((0.00019898+(-0.000002376*G9))*(((O83/100)*((1.00062+0.0000000314*(G10*133.322368421053)+0.00000056*G9^2)*((EXP(0.000012378847*(G9+273.15)^2+(-0.019121316)*(G9+273.15)+33.93711047+(-6343.1645)/(G9+273.15)))/(G10*133.322368421053))))^2))))+(((G10*133.322368421053)^2/((G9+273.15)^2)*(0.0000000000183+(-0.00000000765*(((O83/100)*((1.00062+0.0000000314*(G10*133.322368421053)+0.00000056*G9^2)*((EXP(0.000012378847*(G9+273.15)^2+(-0.019121316)*(G9+273.15)+33.93711047+(-6343.1645)/(G9+273.15)))/(G10*133.322368421053))))^2))))))*(8.314472)*(G9+273.15)))*(1-((0.378*((O83/100)*((1.00062+0.0000000314*(G10*133.322368421053)+0.00000056*G9^2)*((EXP(0.000012378847*(G9+273.15)^2+(-0.019121316)*(G9+273.15)+33.93711047+(-6343.1645)/(G9+273.15)))/(G10*133.322368421053)))))))),9))/1000</f>
        <v>1.1837566399999998E-3</v>
      </c>
      <c r="O83" s="460">
        <f>(G11+C80)</f>
        <v>49.335000000000001</v>
      </c>
    </row>
    <row r="84" spans="1:15" ht="15">
      <c r="A84" s="486"/>
      <c r="B84" s="496"/>
      <c r="C84" s="527"/>
      <c r="D84" s="540"/>
      <c r="E84" s="484"/>
      <c r="F84" s="492"/>
      <c r="G84" s="476"/>
      <c r="H84" s="476"/>
      <c r="I84" s="481"/>
      <c r="J84" s="495" t="str">
        <f t="shared" si="0"/>
        <v/>
      </c>
      <c r="K84" s="482" t="str">
        <f t="shared" ref="K84:K85" si="3">IF(J84="","",IF(J84="Finish","Finish",J84^2/SUMSQ(J84:J97)))</f>
        <v/>
      </c>
      <c r="L84" s="491"/>
      <c r="M84" s="526" t="str">
        <f t="shared" si="2"/>
        <v/>
      </c>
      <c r="N84" s="464"/>
      <c r="O84" s="461"/>
    </row>
    <row r="85" spans="1:15" ht="12.75" customHeight="1">
      <c r="A85" s="485"/>
      <c r="B85" s="496"/>
      <c r="C85" s="527"/>
      <c r="D85" s="540"/>
      <c r="E85" s="484"/>
      <c r="F85" s="492"/>
      <c r="G85" s="476"/>
      <c r="H85" s="476"/>
      <c r="I85" s="481"/>
      <c r="J85" s="495" t="str">
        <f t="shared" si="0"/>
        <v/>
      </c>
      <c r="K85" s="482" t="str">
        <f t="shared" si="3"/>
        <v/>
      </c>
      <c r="L85" s="491"/>
      <c r="M85" s="526" t="str">
        <f t="shared" si="2"/>
        <v/>
      </c>
      <c r="N85" s="464"/>
      <c r="O85" s="461"/>
    </row>
    <row r="86" spans="1:15" ht="15.75" thickBot="1">
      <c r="A86" s="600" t="s">
        <v>479</v>
      </c>
      <c r="B86" s="601"/>
      <c r="C86" s="601"/>
      <c r="D86" s="601"/>
      <c r="E86" s="602"/>
      <c r="F86" s="468"/>
      <c r="G86" s="469"/>
      <c r="H86" s="469"/>
      <c r="I86" s="469"/>
      <c r="J86" s="479"/>
      <c r="K86" s="483">
        <f>SUM(K72:K83)</f>
        <v>1.0000000000000004</v>
      </c>
      <c r="L86" s="480"/>
      <c r="M86" s="526">
        <f>IF(SUM(M72:M85)=0,"",SUM(M72:M85))</f>
        <v>0.38656874538277808</v>
      </c>
      <c r="N86" s="465"/>
      <c r="O86" s="462"/>
    </row>
    <row r="87" spans="1:15" ht="15.75" thickTop="1">
      <c r="A87" s="470" t="s">
        <v>480</v>
      </c>
      <c r="B87" s="471" t="s">
        <v>481</v>
      </c>
      <c r="C87" s="472"/>
      <c r="D87" s="472"/>
      <c r="E87" s="493">
        <f>IF(COUNTA(A72:A85)&lt;&gt;COUNTA(E72:E85),"Entries incomplete.",IF(SUM(E72:E85)=0,"Entries incomplete.",MIN(E72:E85)))</f>
        <v>10</v>
      </c>
      <c r="F87" s="472"/>
      <c r="G87" s="473"/>
      <c r="H87" s="473"/>
      <c r="I87" s="473"/>
      <c r="J87" s="472"/>
      <c r="K87" s="474"/>
      <c r="L87" s="475"/>
      <c r="M87" s="528"/>
    </row>
    <row r="88" spans="1:15" ht="12.75" customHeight="1">
      <c r="A88" s="470" t="s">
        <v>482</v>
      </c>
      <c r="B88" s="471" t="s">
        <v>483</v>
      </c>
      <c r="C88" s="472"/>
      <c r="D88" s="472"/>
      <c r="E88" s="529">
        <f>IF(M91="","TBD",M91)</f>
        <v>11</v>
      </c>
      <c r="F88" s="472"/>
      <c r="G88" s="473"/>
      <c r="H88" s="473"/>
      <c r="I88" s="473"/>
      <c r="J88" s="472"/>
      <c r="K88" s="472"/>
      <c r="L88" s="475"/>
      <c r="M88" s="494"/>
    </row>
    <row r="89" spans="1:15" ht="12.75" customHeight="1">
      <c r="A89" s="603" t="s">
        <v>484</v>
      </c>
      <c r="B89" s="604"/>
      <c r="C89" s="604"/>
      <c r="D89" s="604"/>
      <c r="E89" s="604"/>
      <c r="F89" s="604"/>
      <c r="G89" s="604"/>
      <c r="H89" s="604"/>
      <c r="I89" s="605"/>
      <c r="J89" s="478">
        <f>SQRT(SUMSQ(J72:J85))</f>
        <v>1.4569102035867869</v>
      </c>
      <c r="K89" s="606" t="s">
        <v>485</v>
      </c>
      <c r="L89" s="607"/>
      <c r="M89" s="528">
        <f>IF(J89^4=0,"",J89^4)</f>
        <v>4.5053770215119231</v>
      </c>
    </row>
    <row r="90" spans="1:15" ht="12.75" customHeight="1">
      <c r="A90" s="610" t="s">
        <v>486</v>
      </c>
      <c r="B90" s="611"/>
      <c r="C90" s="611"/>
      <c r="D90" s="611"/>
      <c r="E90" s="611"/>
      <c r="F90" s="611"/>
      <c r="G90" s="611"/>
      <c r="H90" s="611"/>
      <c r="I90" s="611"/>
      <c r="J90" s="478">
        <f>IF(E87="Entries incomplete.","TBD",IF(E87&gt;0,ROUND(TINV(0.0455,MAX(E87:E88)),2),"TBD"))</f>
        <v>2.25</v>
      </c>
      <c r="K90" s="608"/>
      <c r="L90" s="609"/>
      <c r="M90" s="526"/>
    </row>
    <row r="91" spans="1:15" ht="12.75" customHeight="1">
      <c r="A91" s="610" t="s">
        <v>487</v>
      </c>
      <c r="B91" s="611"/>
      <c r="C91" s="611"/>
      <c r="D91" s="611"/>
      <c r="E91" s="611"/>
      <c r="F91" s="611"/>
      <c r="G91" s="611"/>
      <c r="H91" s="611"/>
      <c r="I91" s="611"/>
      <c r="J91" s="478">
        <f>IF(J90="TBD","TBD",J89*J90)</f>
        <v>3.2780479580702706</v>
      </c>
      <c r="K91" s="530"/>
      <c r="L91" s="531"/>
      <c r="M91" s="526">
        <f>IF(M86="","",(ROUNDDOWN((M89/M86),0)))</f>
        <v>11</v>
      </c>
    </row>
    <row r="92" spans="1:15" ht="12.75" customHeight="1" thickBot="1">
      <c r="A92" s="598" t="s">
        <v>488</v>
      </c>
      <c r="B92" s="599"/>
      <c r="C92" s="599"/>
      <c r="D92" s="599"/>
      <c r="E92" s="599"/>
      <c r="F92" s="599"/>
      <c r="G92" s="599"/>
      <c r="H92" s="599"/>
      <c r="I92" s="599"/>
      <c r="J92" s="477" t="str">
        <f>IF(J90="TBD","TBD",IF(J91&lt;&gt;0,FIXED(J91,2-1-INT(LOG10(ABS(J91)))),"TBD"))</f>
        <v>3.3</v>
      </c>
      <c r="K92" s="532" t="s">
        <v>464</v>
      </c>
      <c r="L92" s="533"/>
      <c r="M92" s="534"/>
    </row>
    <row r="93" spans="1:15" ht="12.75" customHeight="1" thickTop="1"/>
    <row r="94" spans="1:15" ht="12.75" customHeight="1"/>
    <row r="95" spans="1:15" ht="12.75" customHeight="1"/>
    <row r="96" spans="1:15" ht="12.75" customHeight="1"/>
  </sheetData>
  <sheetProtection algorithmName="SHA-512" hashValue="wxInH/MWpOD3ECVuKgiWBeqd0uqkl307sksDDt0AaJHWFVrzpS2xHRQNWIzbLO77MrkoocxYjblWxBxeXAELOg==" saltValue="veRQZ2d1D5jdtfKl1Tqr0g==" spinCount="100000" sheet="1" objects="1" scenarios="1" formatCells="0" formatColumns="0" formatRows="0"/>
  <mergeCells count="81">
    <mergeCell ref="G14:G15"/>
    <mergeCell ref="A14:A15"/>
    <mergeCell ref="B14:B15"/>
    <mergeCell ref="C14:C15"/>
    <mergeCell ref="D14:D15"/>
    <mergeCell ref="E14:E15"/>
    <mergeCell ref="A29:F29"/>
    <mergeCell ref="A1:J1"/>
    <mergeCell ref="A2:J2"/>
    <mergeCell ref="D4:G4"/>
    <mergeCell ref="D5:G5"/>
    <mergeCell ref="D6:G6"/>
    <mergeCell ref="C12:E12"/>
    <mergeCell ref="A21:F21"/>
    <mergeCell ref="A22:A23"/>
    <mergeCell ref="B22:B23"/>
    <mergeCell ref="C22:C23"/>
    <mergeCell ref="D22:D23"/>
    <mergeCell ref="E22:E23"/>
    <mergeCell ref="G22:G23"/>
    <mergeCell ref="H4:J4"/>
    <mergeCell ref="A13:F13"/>
    <mergeCell ref="A43:B43"/>
    <mergeCell ref="A30:F30"/>
    <mergeCell ref="D31:G31"/>
    <mergeCell ref="D33:G33"/>
    <mergeCell ref="D34:G34"/>
    <mergeCell ref="D35:G35"/>
    <mergeCell ref="D36:G36"/>
    <mergeCell ref="D38:G38"/>
    <mergeCell ref="D39:G39"/>
    <mergeCell ref="D40:G40"/>
    <mergeCell ref="D32:G32"/>
    <mergeCell ref="D37:G37"/>
    <mergeCell ref="D49:F49"/>
    <mergeCell ref="A50:F50"/>
    <mergeCell ref="A51:C51"/>
    <mergeCell ref="D51:F51"/>
    <mergeCell ref="D52:F52"/>
    <mergeCell ref="A62:B62"/>
    <mergeCell ref="A63:B63"/>
    <mergeCell ref="N77:O77"/>
    <mergeCell ref="D66:F66"/>
    <mergeCell ref="A64:C64"/>
    <mergeCell ref="D64:F64"/>
    <mergeCell ref="D65:F65"/>
    <mergeCell ref="D67:F67"/>
    <mergeCell ref="D55:F55"/>
    <mergeCell ref="D56:F56"/>
    <mergeCell ref="D53:F53"/>
    <mergeCell ref="G57:H57"/>
    <mergeCell ref="A61:C61"/>
    <mergeCell ref="A57:C57"/>
    <mergeCell ref="D57:F57"/>
    <mergeCell ref="N39:Q39"/>
    <mergeCell ref="M33:P33"/>
    <mergeCell ref="M34:P34"/>
    <mergeCell ref="M35:P35"/>
    <mergeCell ref="N37:Q37"/>
    <mergeCell ref="N38:Q38"/>
    <mergeCell ref="A92:I92"/>
    <mergeCell ref="A89:I89"/>
    <mergeCell ref="K89:L90"/>
    <mergeCell ref="A90:I90"/>
    <mergeCell ref="H14:H15"/>
    <mergeCell ref="H22:H23"/>
    <mergeCell ref="F14:F15"/>
    <mergeCell ref="F22:F23"/>
    <mergeCell ref="H70:K70"/>
    <mergeCell ref="D48:F48"/>
    <mergeCell ref="A44:B44"/>
    <mergeCell ref="A46:F46"/>
    <mergeCell ref="A47:C47"/>
    <mergeCell ref="D47:F47"/>
    <mergeCell ref="A54:C54"/>
    <mergeCell ref="D54:F54"/>
    <mergeCell ref="A86:E86"/>
    <mergeCell ref="A70:F70"/>
    <mergeCell ref="H69:K69"/>
    <mergeCell ref="E69:G69"/>
    <mergeCell ref="A91:I91"/>
  </mergeCells>
  <conditionalFormatting sqref="D66">
    <cfRule type="containsText" dxfId="1" priority="1" operator="containsText" text="Pass">
      <formula>NOT(ISERROR(SEARCH("Pass",D66)))</formula>
    </cfRule>
  </conditionalFormatting>
  <dataValidations count="6">
    <dataValidation type="list" allowBlank="1" showInputMessage="1" showErrorMessage="1" prompt="Select A if the estimate is statistically based; else select B." sqref="G83:G85">
      <formula1>UncTypeList</formula1>
    </dataValidation>
    <dataValidation type="list" allowBlank="1" showInputMessage="1" showErrorMessage="1" prompt="Select the probability distribution.  If Type B, rectangular is the default and is often used for digital instrument inputs.  Triangular may be selected for analog readings, including those with a meniscus." sqref="H85">
      <formula1>ProbabilityList</formula1>
    </dataValidation>
    <dataValidation type="list" allowBlank="1" showInputMessage="1" showErrorMessage="1" prompt="Select A if the estimate is statistically based; else select B." sqref="G72:G82">
      <formula1>UncTypeList</formula1>
    </dataValidation>
    <dataValidation type="list" allowBlank="1" showInputMessage="1" showErrorMessage="1" prompt="Select the probability distribution.  If Type B, rectangular is the default and is often used for digital instrument inputs.  Triangular may be selected for analog readings, including those with a meniscus." sqref="H72:H84">
      <formula1>ProbabilityList</formula1>
    </dataValidation>
    <dataValidation type="list" allowBlank="1" showInputMessage="1" showErrorMessage="1" prompt="Be sure to select the correct units for your measurement result." sqref="B69">
      <formula1>Units</formula1>
    </dataValidation>
    <dataValidation type="list" allowBlank="1" showInputMessage="1" showErrorMessage="1" sqref="D72:D85">
      <formula1>Units</formula1>
    </dataValidation>
  </dataValidations>
  <pageMargins left="0.7" right="0.7" top="0.75" bottom="0.75" header="0.3" footer="0.3"/>
  <pageSetup scale="66" fitToHeight="2" orientation="landscape" r:id="rId1"/>
  <headerFooter alignWithMargins="0">
    <oddHeader>&amp;C&amp;"Times New Roman,Regular"&amp;F</oddHeader>
    <oddFooter>&amp;C&amp;"Times New Roman,Regular"Page &amp;P of &amp;N</oddFooter>
  </headerFooter>
  <rowBreaks count="1" manualBreakCount="1">
    <brk id="45" max="9" man="1"/>
  </rowBreaks>
  <ignoredErrors>
    <ignoredError sqref="G28 G20" formula="1"/>
  </ignoredErrors>
  <drawing r:id="rId2"/>
  <legacyDrawing r:id="rId3"/>
  <oleObjects>
    <mc:AlternateContent xmlns:mc="http://schemas.openxmlformats.org/markup-compatibility/2006">
      <mc:Choice Requires="x14">
        <oleObject progId="Equation.3" shapeId="18438" r:id="rId4">
          <objectPr defaultSize="0" autoPict="0" r:id="rId5">
            <anchor moveWithCells="1" sizeWithCells="1">
              <from>
                <xdr:col>6</xdr:col>
                <xdr:colOff>276225</xdr:colOff>
                <xdr:row>56</xdr:row>
                <xdr:rowOff>228600</xdr:rowOff>
              </from>
              <to>
                <xdr:col>11</xdr:col>
                <xdr:colOff>733425</xdr:colOff>
                <xdr:row>60</xdr:row>
                <xdr:rowOff>47625</xdr:rowOff>
              </to>
            </anchor>
          </objectPr>
        </oleObject>
      </mc:Choice>
      <mc:Fallback>
        <oleObject progId="Equation.3" shapeId="18438" r:id="rId4"/>
      </mc:Fallback>
    </mc:AlternateContent>
    <mc:AlternateContent xmlns:mc="http://schemas.openxmlformats.org/markup-compatibility/2006">
      <mc:Choice Requires="x14">
        <oleObject progId="Equation.3" shapeId="18439" r:id="rId6">
          <objectPr defaultSize="0" autoPict="0" r:id="rId7">
            <anchor moveWithCells="1" sizeWithCells="1">
              <from>
                <xdr:col>6</xdr:col>
                <xdr:colOff>266700</xdr:colOff>
                <xdr:row>54</xdr:row>
                <xdr:rowOff>0</xdr:rowOff>
              </from>
              <to>
                <xdr:col>8</xdr:col>
                <xdr:colOff>581025</xdr:colOff>
                <xdr:row>56</xdr:row>
                <xdr:rowOff>19050</xdr:rowOff>
              </to>
            </anchor>
          </objectPr>
        </oleObject>
      </mc:Choice>
      <mc:Fallback>
        <oleObject progId="Equation.3" shapeId="18439" r:id="rId6"/>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dimension ref="A1:S95"/>
  <sheetViews>
    <sheetView showGridLines="0" topLeftCell="A31" zoomScaleNormal="100" workbookViewId="0">
      <selection activeCell="F83" sqref="F83"/>
    </sheetView>
  </sheetViews>
  <sheetFormatPr defaultColWidth="9.75" defaultRowHeight="0" customHeight="1" zeroHeight="1"/>
  <cols>
    <col min="1" max="1" width="24.625" style="52" customWidth="1"/>
    <col min="2" max="2" width="20.25" style="52" customWidth="1"/>
    <col min="3" max="3" width="15.125" style="52" customWidth="1"/>
    <col min="4" max="5" width="9.75" style="52" customWidth="1"/>
    <col min="6" max="6" width="11" style="52" customWidth="1"/>
    <col min="7" max="7" width="12.5" style="52" customWidth="1"/>
    <col min="8" max="8" width="18.25" style="52" customWidth="1"/>
    <col min="9" max="9" width="11.875" style="52" customWidth="1"/>
    <col min="10" max="10" width="11.375" style="52" customWidth="1"/>
    <col min="11" max="11" width="9.75" style="52"/>
    <col min="12" max="12" width="24.125" style="52" customWidth="1"/>
    <col min="13" max="13" width="19.625" style="52" customWidth="1"/>
    <col min="14" max="15" width="13" style="52" customWidth="1"/>
    <col min="16" max="16384" width="9.75" style="52"/>
  </cols>
  <sheetData>
    <row r="1" spans="1:10" ht="14.25" thickTop="1" thickBot="1">
      <c r="A1" s="690" t="s">
        <v>131</v>
      </c>
      <c r="B1" s="691"/>
      <c r="C1" s="691"/>
      <c r="D1" s="691"/>
      <c r="E1" s="691"/>
      <c r="F1" s="691"/>
      <c r="G1" s="691"/>
      <c r="H1" s="691"/>
      <c r="I1" s="691"/>
      <c r="J1" s="692"/>
    </row>
    <row r="2" spans="1:10" ht="14.25" thickTop="1" thickBot="1">
      <c r="A2" s="693" t="s">
        <v>130</v>
      </c>
      <c r="B2" s="694"/>
      <c r="C2" s="694"/>
      <c r="D2" s="694"/>
      <c r="E2" s="694"/>
      <c r="F2" s="694"/>
      <c r="G2" s="694"/>
      <c r="H2" s="694"/>
      <c r="I2" s="694"/>
      <c r="J2" s="695"/>
    </row>
    <row r="3" spans="1:10" ht="14.25" thickTop="1" thickBot="1">
      <c r="A3" s="410" t="s">
        <v>108</v>
      </c>
      <c r="B3" s="410"/>
      <c r="C3" s="410"/>
      <c r="D3" s="411"/>
      <c r="E3" s="411"/>
      <c r="F3" s="411"/>
    </row>
    <row r="4" spans="1:10" ht="14.25" thickTop="1" thickBot="1">
      <c r="A4" s="44" t="s">
        <v>90</v>
      </c>
      <c r="B4" s="120" t="s">
        <v>153</v>
      </c>
      <c r="C4" s="45" t="s">
        <v>76</v>
      </c>
      <c r="D4" s="696" t="s">
        <v>143</v>
      </c>
      <c r="E4" s="697"/>
      <c r="F4" s="697"/>
      <c r="G4" s="698"/>
      <c r="H4" s="699" t="s">
        <v>110</v>
      </c>
      <c r="I4" s="700"/>
      <c r="J4" s="701"/>
    </row>
    <row r="5" spans="1:10" ht="13.5" thickTop="1">
      <c r="A5" s="108" t="s">
        <v>132</v>
      </c>
      <c r="B5" s="121">
        <v>5</v>
      </c>
      <c r="C5" s="46" t="s">
        <v>58</v>
      </c>
      <c r="D5" s="702" t="s">
        <v>144</v>
      </c>
      <c r="E5" s="703"/>
      <c r="F5" s="703"/>
      <c r="G5" s="704"/>
      <c r="H5" s="124"/>
      <c r="I5" s="125"/>
      <c r="J5" s="126"/>
    </row>
    <row r="6" spans="1:10" ht="12.75">
      <c r="A6" s="47" t="s">
        <v>59</v>
      </c>
      <c r="B6" s="122" t="s">
        <v>146</v>
      </c>
      <c r="C6" s="71" t="s">
        <v>60</v>
      </c>
      <c r="D6" s="687" t="s">
        <v>145</v>
      </c>
      <c r="E6" s="688"/>
      <c r="F6" s="688"/>
      <c r="G6" s="689"/>
      <c r="H6" s="127"/>
      <c r="I6" s="128"/>
      <c r="J6" s="129"/>
    </row>
    <row r="7" spans="1:10" ht="27" customHeight="1">
      <c r="A7" s="107" t="s">
        <v>129</v>
      </c>
      <c r="B7" s="123">
        <v>2.65E-5</v>
      </c>
      <c r="C7" s="106" t="s">
        <v>128</v>
      </c>
      <c r="D7" s="105">
        <v>60</v>
      </c>
      <c r="E7" s="83"/>
      <c r="F7" s="83"/>
      <c r="G7" s="84"/>
      <c r="H7" s="127"/>
      <c r="I7" s="130" t="s">
        <v>152</v>
      </c>
      <c r="J7" s="129"/>
    </row>
    <row r="8" spans="1:10" ht="25.5">
      <c r="A8" s="47" t="s">
        <v>109</v>
      </c>
      <c r="B8" s="545">
        <f>B7*1.8</f>
        <v>4.7700000000000001E-5</v>
      </c>
      <c r="C8" s="46"/>
      <c r="D8" s="86" t="s">
        <v>106</v>
      </c>
      <c r="E8" s="86" t="s">
        <v>107</v>
      </c>
      <c r="F8" s="43" t="s">
        <v>75</v>
      </c>
      <c r="G8" s="88" t="s">
        <v>93</v>
      </c>
      <c r="H8" s="127"/>
      <c r="I8" s="130"/>
      <c r="J8" s="129"/>
    </row>
    <row r="9" spans="1:10" ht="18.75" customHeight="1">
      <c r="A9" s="47" t="s">
        <v>63</v>
      </c>
      <c r="B9" s="122"/>
      <c r="C9" s="58" t="s">
        <v>98</v>
      </c>
      <c r="D9" s="65">
        <f>AVERAGE(I32:J32)</f>
        <v>25.875</v>
      </c>
      <c r="E9" s="65">
        <f>AVERAGE(I37:J37)</f>
        <v>25.875</v>
      </c>
      <c r="F9" s="121">
        <v>0.1</v>
      </c>
      <c r="G9" s="89">
        <f>AVERAGE(D9:E9)</f>
        <v>25.875</v>
      </c>
      <c r="H9" s="127"/>
      <c r="I9" s="128"/>
      <c r="J9" s="129"/>
    </row>
    <row r="10" spans="1:10" ht="18.75" customHeight="1">
      <c r="A10" s="47" t="s">
        <v>73</v>
      </c>
      <c r="B10" s="418">
        <v>24000</v>
      </c>
      <c r="C10" s="58" t="s">
        <v>99</v>
      </c>
      <c r="D10" s="65">
        <f>AVERAGE(I33:J33)</f>
        <v>751.06</v>
      </c>
      <c r="E10" s="65">
        <f>AVERAGE(I38:J38)</f>
        <v>751.06</v>
      </c>
      <c r="F10" s="121">
        <v>0.5</v>
      </c>
      <c r="G10" s="89">
        <f>AVERAGE(D10:E10)</f>
        <v>751.06</v>
      </c>
      <c r="H10" s="127"/>
      <c r="I10" s="128"/>
      <c r="J10" s="129"/>
    </row>
    <row r="11" spans="1:10" ht="27" customHeight="1">
      <c r="A11" s="107" t="s">
        <v>74</v>
      </c>
      <c r="B11" s="418">
        <v>1.4</v>
      </c>
      <c r="C11" s="58" t="s">
        <v>100</v>
      </c>
      <c r="D11" s="65">
        <f>AVERAGE(I34:J34)</f>
        <v>35.15</v>
      </c>
      <c r="E11" s="65">
        <f>AVERAGE(I39:J39)</f>
        <v>35.15</v>
      </c>
      <c r="F11" s="121">
        <v>2</v>
      </c>
      <c r="G11" s="89">
        <f>AVERAGE(D11:E11)</f>
        <v>35.15</v>
      </c>
      <c r="H11" s="127"/>
      <c r="I11" s="128"/>
      <c r="J11" s="129"/>
    </row>
    <row r="12" spans="1:10" ht="20.25" customHeight="1" thickBot="1">
      <c r="A12" s="48" t="s">
        <v>64</v>
      </c>
      <c r="B12" s="419">
        <v>200</v>
      </c>
      <c r="C12" s="684" t="s">
        <v>114</v>
      </c>
      <c r="D12" s="685"/>
      <c r="E12" s="686"/>
      <c r="F12" s="133">
        <v>0.1</v>
      </c>
      <c r="G12" s="72"/>
      <c r="H12" s="127"/>
      <c r="I12" s="128"/>
      <c r="J12" s="129"/>
    </row>
    <row r="13" spans="1:10" ht="20.25" customHeight="1" thickTop="1" thickBot="1">
      <c r="A13" s="675" t="s">
        <v>126</v>
      </c>
      <c r="B13" s="675"/>
      <c r="C13" s="675"/>
      <c r="D13" s="676"/>
      <c r="E13" s="676"/>
      <c r="F13" s="676"/>
      <c r="G13" s="90"/>
      <c r="H13" s="127"/>
      <c r="I13" s="128"/>
      <c r="J13" s="129"/>
    </row>
    <row r="14" spans="1:10" ht="20.25" customHeight="1" thickTop="1">
      <c r="A14" s="677" t="s">
        <v>138</v>
      </c>
      <c r="B14" s="679" t="s">
        <v>80</v>
      </c>
      <c r="C14" s="679" t="s">
        <v>81</v>
      </c>
      <c r="D14" s="681" t="s">
        <v>115</v>
      </c>
      <c r="E14" s="679" t="s">
        <v>79</v>
      </c>
      <c r="F14" s="639" t="s">
        <v>505</v>
      </c>
      <c r="G14" s="644" t="s">
        <v>82</v>
      </c>
      <c r="H14" s="637" t="s">
        <v>94</v>
      </c>
      <c r="I14" s="128"/>
      <c r="J14" s="129"/>
    </row>
    <row r="15" spans="1:10" ht="20.25" customHeight="1" thickBot="1">
      <c r="A15" s="678"/>
      <c r="B15" s="680"/>
      <c r="C15" s="680"/>
      <c r="D15" s="680"/>
      <c r="E15" s="680"/>
      <c r="F15" s="640"/>
      <c r="G15" s="645"/>
      <c r="H15" s="638"/>
      <c r="I15" s="128"/>
      <c r="J15" s="129"/>
    </row>
    <row r="16" spans="1:10" ht="15.75" customHeight="1" thickTop="1">
      <c r="A16" s="553" t="s">
        <v>122</v>
      </c>
      <c r="B16" s="423">
        <v>4685</v>
      </c>
      <c r="C16" s="423">
        <v>0</v>
      </c>
      <c r="D16" s="423">
        <v>4.7125999999999998E-4</v>
      </c>
      <c r="E16" s="423">
        <v>1</v>
      </c>
      <c r="F16" s="424">
        <v>4.7125999999999998E-4</v>
      </c>
      <c r="G16" s="425">
        <v>8</v>
      </c>
      <c r="H16" s="426">
        <v>585.625</v>
      </c>
      <c r="I16" s="128"/>
      <c r="J16" s="129"/>
    </row>
    <row r="17" spans="1:16" ht="15.75" customHeight="1">
      <c r="A17" s="551"/>
      <c r="B17" s="423" t="str">
        <f>IF(ISBLANK(VLOOKUP(A17,EmptyReference,2,FALSE))=TRUE, "",VLOOKUP(A17,EmptyReference,2,FALSE))</f>
        <v/>
      </c>
      <c r="C17" s="423" t="str">
        <f>IF(ISBLANK(VLOOKUP(A17,EmptyReference,3,FALSE))=TRUE, "",VLOOKUP(A17,EmptyReference,3,FALSE))</f>
        <v/>
      </c>
      <c r="D17" s="423" t="str">
        <f>IF(ISBLANK(VLOOKUP(A17,EmptyReference,4,FALSE))=TRUE, "",VLOOKUP(A17,EmptyReference,4,FALSE))</f>
        <v/>
      </c>
      <c r="E17" s="423" t="str">
        <f>IF(ISBLANK(VLOOKUP(A17,EmptyReference,5,FALSE))=TRUE, "",VLOOKUP(A17,EmptyReference,5,FALSE))</f>
        <v/>
      </c>
      <c r="F17" s="428" t="str">
        <f>IF(ISBLANK(VLOOKUP(A17,EmptyReference,6,FALSE))=TRUE, "",VLOOKUP(A17,EmptyReference,6,FALSE))</f>
        <v/>
      </c>
      <c r="G17" s="425" t="str">
        <f>IF(ISBLANK(VLOOKUP(A17,EmptyReference,7,FALSE))=TRUE, "",VLOOKUP(A17,EmptyReference,7,FALSE))</f>
        <v/>
      </c>
      <c r="H17" s="426" t="str">
        <f>IF(ISBLANK(VLOOKUP(A17,EmptyReference,8,FALSE))=TRUE, "",VLOOKUP(A17,EmptyReference,8,FALSE))</f>
        <v/>
      </c>
      <c r="I17" s="128"/>
      <c r="J17" s="129"/>
    </row>
    <row r="18" spans="1:16" ht="15.75" customHeight="1">
      <c r="A18" s="551"/>
      <c r="B18" s="423" t="str">
        <f>IF(ISBLANK(VLOOKUP(A18,EmptyReference,2,FALSE))=TRUE, "",VLOOKUP(A18,EmptyReference,2,FALSE))</f>
        <v/>
      </c>
      <c r="C18" s="423" t="str">
        <f>IF(ISBLANK(VLOOKUP(A18,EmptyReference,3,FALSE))=TRUE, "",VLOOKUP(A18,EmptyReference,3,FALSE))</f>
        <v/>
      </c>
      <c r="D18" s="423" t="str">
        <f>IF(ISBLANK(VLOOKUP(A18,EmptyReference,4,FALSE))=TRUE, "",VLOOKUP(A18,EmptyReference,4,FALSE))</f>
        <v/>
      </c>
      <c r="E18" s="423" t="str">
        <f>IF(ISBLANK(VLOOKUP(A18,EmptyReference,5,FALSE))=TRUE, "",VLOOKUP(A18,EmptyReference,5,FALSE))</f>
        <v/>
      </c>
      <c r="F18" s="428" t="str">
        <f>IF(ISBLANK(VLOOKUP(A18,EmptyReference,6,FALSE))=TRUE, "",VLOOKUP(A18,EmptyReference,6,FALSE))</f>
        <v/>
      </c>
      <c r="G18" s="425" t="str">
        <f>IF(ISBLANK(VLOOKUP(A18,EmptyReference,7,FALSE))=TRUE, "",VLOOKUP(A18,EmptyReference,7,FALSE))</f>
        <v/>
      </c>
      <c r="H18" s="426" t="str">
        <f>IF(ISBLANK(VLOOKUP(A18,EmptyReference,8,FALSE))=TRUE, "",VLOOKUP(A18,EmptyReference,8,FALSE))</f>
        <v/>
      </c>
      <c r="I18" s="128"/>
      <c r="J18" s="129"/>
    </row>
    <row r="19" spans="1:16" ht="15.75" customHeight="1" thickBot="1">
      <c r="A19" s="552"/>
      <c r="B19" s="423" t="str">
        <f>IF(ISBLANK(VLOOKUP(A19,EmptyReference,2,FALSE))=TRUE, "",VLOOKUP(A19,EmptyReference,2,FALSE))</f>
        <v/>
      </c>
      <c r="C19" s="423" t="str">
        <f>IF(ISBLANK(VLOOKUP(A19,EmptyReference,3,FALSE))=TRUE, "",VLOOKUP(A19,EmptyReference,3,FALSE))</f>
        <v/>
      </c>
      <c r="D19" s="423" t="str">
        <f>IF(ISBLANK(VLOOKUP(A19,EmptyReference,4,FALSE))=TRUE, "",VLOOKUP(A19,EmptyReference,4,FALSE))</f>
        <v/>
      </c>
      <c r="E19" s="423" t="str">
        <f>IF(ISBLANK(VLOOKUP(A19,EmptyReference,5,FALSE))=TRUE, "",VLOOKUP(A19,EmptyReference,5,FALSE))</f>
        <v/>
      </c>
      <c r="F19" s="429" t="str">
        <f>IF(ISBLANK(VLOOKUP(A19,EmptyReference,6,FALSE))=TRUE, "",VLOOKUP(A19,EmptyReference,6,FALSE))</f>
        <v/>
      </c>
      <c r="G19" s="425" t="str">
        <f>IF(ISBLANK(VLOOKUP(A19,EmptyReference,7,FALSE))=TRUE, "",VLOOKUP(A19,EmptyReference,7,FALSE))</f>
        <v/>
      </c>
      <c r="H19" s="426" t="str">
        <f>IF(ISBLANK(VLOOKUP(A19,EmptyReference,8,FALSE))=TRUE, "",VLOOKUP(A19,EmptyReference,8,FALSE))</f>
        <v/>
      </c>
      <c r="I19" s="128"/>
      <c r="J19" s="129"/>
    </row>
    <row r="20" spans="1:16" ht="15.75" customHeight="1" thickTop="1" thickBot="1">
      <c r="A20" s="60" t="s">
        <v>92</v>
      </c>
      <c r="B20" s="64">
        <f>IF(B16="", "", SUM(B16:B19))</f>
        <v>4685</v>
      </c>
      <c r="C20" s="64" t="str">
        <f>IF(C16="", "", SUM(C16:C19))</f>
        <v/>
      </c>
      <c r="D20" s="430"/>
      <c r="E20" s="430"/>
      <c r="F20" s="431">
        <f>IF(F16="", "",SUM(F16:F19))</f>
        <v>4.7125999999999998E-4</v>
      </c>
      <c r="G20" s="420">
        <f>IF(H20="","",ROUND(B20/H20,6))</f>
        <v>8</v>
      </c>
      <c r="H20" s="422">
        <f>IF(H16="", "",SUM(H16:H19))</f>
        <v>585.625</v>
      </c>
      <c r="I20" s="128"/>
      <c r="J20" s="129"/>
    </row>
    <row r="21" spans="1:16" ht="14.25" thickTop="1" thickBot="1">
      <c r="A21" s="675" t="s">
        <v>127</v>
      </c>
      <c r="B21" s="675"/>
      <c r="C21" s="675"/>
      <c r="D21" s="676"/>
      <c r="E21" s="676"/>
      <c r="F21" s="676"/>
      <c r="G21" s="454"/>
      <c r="H21" s="458"/>
      <c r="I21" s="128"/>
      <c r="J21" s="129"/>
    </row>
    <row r="22" spans="1:16" ht="39" customHeight="1" thickTop="1">
      <c r="A22" s="677" t="s">
        <v>139</v>
      </c>
      <c r="B22" s="679" t="s">
        <v>80</v>
      </c>
      <c r="C22" s="679" t="s">
        <v>81</v>
      </c>
      <c r="D22" s="681" t="s">
        <v>115</v>
      </c>
      <c r="E22" s="679" t="s">
        <v>79</v>
      </c>
      <c r="F22" s="639" t="s">
        <v>505</v>
      </c>
      <c r="G22" s="674" t="s">
        <v>82</v>
      </c>
      <c r="H22" s="635" t="s">
        <v>94</v>
      </c>
      <c r="I22" s="128"/>
      <c r="J22" s="129"/>
    </row>
    <row r="23" spans="1:16" ht="13.5" thickBot="1">
      <c r="A23" s="678"/>
      <c r="B23" s="680"/>
      <c r="C23" s="680"/>
      <c r="D23" s="680"/>
      <c r="E23" s="680"/>
      <c r="F23" s="713"/>
      <c r="G23" s="716"/>
      <c r="H23" s="636"/>
      <c r="I23" s="128"/>
      <c r="J23" s="129"/>
    </row>
    <row r="24" spans="1:16" ht="15" thickTop="1">
      <c r="A24" s="553" t="s">
        <v>124</v>
      </c>
      <c r="B24" s="423">
        <v>23554</v>
      </c>
      <c r="C24" s="423">
        <v>0</v>
      </c>
      <c r="D24" s="423">
        <v>1.50902E-3</v>
      </c>
      <c r="E24" s="423">
        <v>1</v>
      </c>
      <c r="F24" s="424">
        <v>1.50902E-3</v>
      </c>
      <c r="G24" s="423">
        <v>8</v>
      </c>
      <c r="H24" s="426">
        <v>2944.25</v>
      </c>
      <c r="I24" s="128"/>
      <c r="J24" s="129"/>
    </row>
    <row r="25" spans="1:16" ht="12.75">
      <c r="A25" s="551"/>
      <c r="B25" s="423" t="str">
        <f>IF(ISBLANK(VLOOKUP(A25,FilledReference,2,FALSE))=TRUE, "",VLOOKUP(A25,FilledReference,2,FALSE))</f>
        <v/>
      </c>
      <c r="C25" s="423" t="str">
        <f>IF(ISBLANK(VLOOKUP(A25,FilledReference,3,FALSE))=TRUE, "",VLOOKUP(A25,FilledReference,3,FALSE))</f>
        <v/>
      </c>
      <c r="D25" s="423" t="str">
        <f>IF(ISBLANK(VLOOKUP(A25,FilledReference,4,FALSE))=TRUE, "",VLOOKUP(A25,FilledReference,4,FALSE))</f>
        <v/>
      </c>
      <c r="E25" s="423" t="str">
        <f>IF(ISBLANK(VLOOKUP(A25,FilledReference,5,FALSE))=TRUE, "",VLOOKUP(A25,FilledReference,5,FALSE))</f>
        <v/>
      </c>
      <c r="F25" s="428" t="str">
        <f>IF(ISBLANK(VLOOKUP(A25,FilledReference,6,FALSE))=TRUE, "",VLOOKUP(A25,FilledReference,6,FALSE))</f>
        <v/>
      </c>
      <c r="G25" s="423" t="str">
        <f>IF(ISBLANK(VLOOKUP(A25,FilledReference,7,FALSE))=TRUE, "",VLOOKUP(A25,FilledReference,7,FALSE))</f>
        <v/>
      </c>
      <c r="H25" s="426" t="str">
        <f>IF(ISBLANK(VLOOKUP(A25,FilledReference,8,FALSE))=TRUE, "",VLOOKUP(A25,FilledReference,8,FALSE))</f>
        <v/>
      </c>
      <c r="I25" s="128"/>
      <c r="J25" s="129"/>
    </row>
    <row r="26" spans="1:16" ht="12.75">
      <c r="A26" s="551"/>
      <c r="B26" s="423" t="str">
        <f>IF(ISBLANK(VLOOKUP(A26,FilledReference,2,FALSE))=TRUE, "",VLOOKUP(A26,FilledReference,2,FALSE))</f>
        <v/>
      </c>
      <c r="C26" s="423" t="str">
        <f>IF(ISBLANK(VLOOKUP(A26,FilledReference,3,FALSE))=TRUE, "",VLOOKUP(A26,FilledReference,3,FALSE))</f>
        <v/>
      </c>
      <c r="D26" s="423" t="str">
        <f>IF(ISBLANK(VLOOKUP(A26,FilledReference,4,FALSE))=TRUE, "",VLOOKUP(A26,FilledReference,4,FALSE))</f>
        <v/>
      </c>
      <c r="E26" s="423" t="str">
        <f>IF(ISBLANK(VLOOKUP(A26,FilledReference,5,FALSE))=TRUE, "",VLOOKUP(A26,FilledReference,5,FALSE))</f>
        <v/>
      </c>
      <c r="F26" s="428" t="str">
        <f>IF(ISBLANK(VLOOKUP(A26,FilledReference,6,FALSE))=TRUE, "",VLOOKUP(A26,FilledReference,6,FALSE))</f>
        <v/>
      </c>
      <c r="G26" s="423" t="str">
        <f>IF(ISBLANK(VLOOKUP(A26,FilledReference,7,FALSE))=TRUE, "",VLOOKUP(A26,FilledReference,7,FALSE))</f>
        <v/>
      </c>
      <c r="H26" s="426" t="str">
        <f>IF(ISBLANK(VLOOKUP(A26,FilledReference,8,FALSE))=TRUE, "",VLOOKUP(A26,FilledReference,8,FALSE))</f>
        <v/>
      </c>
      <c r="I26" s="128"/>
      <c r="J26" s="129"/>
    </row>
    <row r="27" spans="1:16" ht="13.5" thickBot="1">
      <c r="A27" s="552"/>
      <c r="B27" s="423" t="str">
        <f>IF(ISBLANK(VLOOKUP(A27,FilledReference,2,FALSE))=TRUE, "",VLOOKUP(A27,FilledReference,2,FALSE))</f>
        <v/>
      </c>
      <c r="C27" s="423" t="str">
        <f>IF(ISBLANK(VLOOKUP(A27,FilledReference,3,FALSE))=TRUE, "",VLOOKUP(A27,FilledReference,3,FALSE))</f>
        <v/>
      </c>
      <c r="D27" s="423" t="str">
        <f>IF(ISBLANK(VLOOKUP(A27,FilledReference,4,FALSE))=TRUE, "",VLOOKUP(A27,FilledReference,4,FALSE))</f>
        <v/>
      </c>
      <c r="E27" s="423" t="str">
        <f>IF(ISBLANK(VLOOKUP(A27,FilledReference,5,FALSE))=TRUE, "",VLOOKUP(A27,FilledReference,5,FALSE))</f>
        <v/>
      </c>
      <c r="F27" s="429" t="str">
        <f>IF(ISBLANK(VLOOKUP(A27,FilledReference,6,FALSE))=TRUE, "",VLOOKUP(A27,FilledReference,6,FALSE))</f>
        <v/>
      </c>
      <c r="G27" s="445" t="str">
        <f>IF(ISBLANK(VLOOKUP(A27,FilledReference,7,FALSE))=TRUE, "",VLOOKUP(A27,FilledReference,7,FALSE))</f>
        <v/>
      </c>
      <c r="H27" s="426" t="str">
        <f>IF(ISBLANK(VLOOKUP(A27,FilledReference,8,FALSE))=TRUE, "",VLOOKUP(A27,FilledReference,8,FALSE))</f>
        <v/>
      </c>
      <c r="I27" s="128"/>
      <c r="J27" s="129"/>
    </row>
    <row r="28" spans="1:16" ht="18.75" customHeight="1" thickTop="1" thickBot="1">
      <c r="A28" s="60" t="s">
        <v>92</v>
      </c>
      <c r="B28" s="64">
        <f>IF(B24="", "", SUM(B24:B27))</f>
        <v>23554</v>
      </c>
      <c r="C28" s="64" t="str">
        <f>IF(C24="", "", SUM(C24:C27))</f>
        <v/>
      </c>
      <c r="D28" s="430"/>
      <c r="E28" s="430"/>
      <c r="F28" s="457">
        <f>IF(F24="", "",SUM(F24:F27))</f>
        <v>1.50902E-3</v>
      </c>
      <c r="G28" s="455">
        <f>IF(H28="","",ROUND(B28/H28,6))</f>
        <v>8</v>
      </c>
      <c r="H28" s="456">
        <f>IF(H24="", "",SUM(H24:H27))</f>
        <v>2944.25</v>
      </c>
      <c r="I28" s="131"/>
      <c r="J28" s="132"/>
    </row>
    <row r="29" spans="1:16" ht="13.5" thickTop="1">
      <c r="A29" s="682" t="s">
        <v>68</v>
      </c>
      <c r="B29" s="682"/>
      <c r="C29" s="682"/>
      <c r="D29" s="682"/>
      <c r="E29" s="682"/>
      <c r="F29" s="682"/>
    </row>
    <row r="30" spans="1:16" ht="13.5" thickBot="1">
      <c r="A30" s="683" t="s">
        <v>103</v>
      </c>
      <c r="B30" s="683"/>
      <c r="C30" s="683"/>
      <c r="D30" s="683"/>
      <c r="E30" s="683"/>
      <c r="F30" s="683"/>
    </row>
    <row r="31" spans="1:16" ht="39" thickTop="1">
      <c r="A31" s="49" t="s">
        <v>40</v>
      </c>
      <c r="B31" s="412" t="s">
        <v>89</v>
      </c>
      <c r="C31" s="412" t="s">
        <v>66</v>
      </c>
      <c r="D31" s="674" t="s">
        <v>97</v>
      </c>
      <c r="E31" s="674"/>
      <c r="F31" s="674"/>
      <c r="G31" s="674"/>
      <c r="H31" s="45"/>
      <c r="I31" s="412" t="s">
        <v>61</v>
      </c>
      <c r="J31" s="421" t="s">
        <v>62</v>
      </c>
      <c r="M31" s="82"/>
      <c r="N31" s="82"/>
      <c r="O31" s="82"/>
      <c r="P31" s="82"/>
    </row>
    <row r="32" spans="1:16" ht="20.100000000000001" customHeight="1">
      <c r="A32" s="50">
        <v>1</v>
      </c>
      <c r="B32" s="79" t="s">
        <v>122</v>
      </c>
      <c r="C32" s="66" t="s">
        <v>70</v>
      </c>
      <c r="D32" s="643">
        <v>4685</v>
      </c>
      <c r="E32" s="643"/>
      <c r="F32" s="643"/>
      <c r="G32" s="643"/>
      <c r="H32" s="46" t="s">
        <v>98</v>
      </c>
      <c r="I32" s="134">
        <v>25.875</v>
      </c>
      <c r="J32" s="135">
        <v>25.875</v>
      </c>
      <c r="M32" s="82"/>
      <c r="N32" s="82"/>
      <c r="O32" s="82"/>
      <c r="P32" s="82"/>
    </row>
    <row r="33" spans="1:17" ht="20.100000000000001" customHeight="1">
      <c r="A33" s="50">
        <v>2</v>
      </c>
      <c r="B33" s="51" t="s">
        <v>123</v>
      </c>
      <c r="C33" s="66" t="s">
        <v>71</v>
      </c>
      <c r="D33" s="643">
        <f>D32-0.17</f>
        <v>4684.83</v>
      </c>
      <c r="E33" s="643"/>
      <c r="F33" s="643"/>
      <c r="G33" s="643"/>
      <c r="H33" s="46" t="s">
        <v>99</v>
      </c>
      <c r="I33" s="134">
        <v>751.06</v>
      </c>
      <c r="J33" s="135">
        <v>751.06</v>
      </c>
      <c r="M33" s="670"/>
      <c r="N33" s="670"/>
      <c r="O33" s="670"/>
      <c r="P33" s="670"/>
    </row>
    <row r="34" spans="1:17" ht="20.100000000000001" customHeight="1">
      <c r="A34" s="50">
        <v>3</v>
      </c>
      <c r="B34" s="79" t="s">
        <v>124</v>
      </c>
      <c r="C34" s="66" t="s">
        <v>72</v>
      </c>
      <c r="D34" s="643">
        <v>23554</v>
      </c>
      <c r="E34" s="643"/>
      <c r="F34" s="643"/>
      <c r="G34" s="643"/>
      <c r="H34" s="46" t="s">
        <v>100</v>
      </c>
      <c r="I34" s="134">
        <v>35.15</v>
      </c>
      <c r="J34" s="135">
        <v>35.15</v>
      </c>
      <c r="M34" s="670"/>
      <c r="N34" s="670"/>
      <c r="O34" s="670"/>
      <c r="P34" s="670"/>
    </row>
    <row r="35" spans="1:17" ht="20.100000000000001" customHeight="1" thickBot="1">
      <c r="A35" s="67">
        <v>4</v>
      </c>
      <c r="B35" s="68" t="s">
        <v>65</v>
      </c>
      <c r="C35" s="69" t="s">
        <v>121</v>
      </c>
      <c r="D35" s="671">
        <f>D34-0.265</f>
        <v>23553.735000000001</v>
      </c>
      <c r="E35" s="671"/>
      <c r="F35" s="671"/>
      <c r="G35" s="671"/>
      <c r="H35" s="68" t="s">
        <v>77</v>
      </c>
      <c r="I35" s="419">
        <v>24.8</v>
      </c>
      <c r="J35" s="70"/>
      <c r="K35" s="81"/>
      <c r="L35" s="81"/>
      <c r="M35" s="670"/>
      <c r="N35" s="670"/>
      <c r="O35" s="670"/>
      <c r="P35" s="670"/>
    </row>
    <row r="36" spans="1:17" ht="39" thickTop="1">
      <c r="A36" s="49" t="s">
        <v>41</v>
      </c>
      <c r="B36" s="412" t="s">
        <v>89</v>
      </c>
      <c r="C36" s="412" t="s">
        <v>66</v>
      </c>
      <c r="D36" s="674" t="s">
        <v>97</v>
      </c>
      <c r="E36" s="674"/>
      <c r="F36" s="674"/>
      <c r="G36" s="674"/>
      <c r="H36" s="45"/>
      <c r="I36" s="117" t="s">
        <v>61</v>
      </c>
      <c r="J36" s="421" t="s">
        <v>62</v>
      </c>
      <c r="M36" s="82"/>
      <c r="N36" s="82"/>
      <c r="O36" s="82"/>
      <c r="P36" s="82"/>
      <c r="Q36" s="82"/>
    </row>
    <row r="37" spans="1:17" ht="20.100000000000001" customHeight="1">
      <c r="A37" s="50">
        <v>1</v>
      </c>
      <c r="B37" s="79" t="s">
        <v>122</v>
      </c>
      <c r="C37" s="66" t="s">
        <v>70</v>
      </c>
      <c r="D37" s="714">
        <v>4685</v>
      </c>
      <c r="E37" s="714"/>
      <c r="F37" s="714"/>
      <c r="G37" s="714"/>
      <c r="H37" s="46" t="s">
        <v>98</v>
      </c>
      <c r="I37" s="134">
        <v>25.875</v>
      </c>
      <c r="J37" s="135">
        <v>25.875</v>
      </c>
      <c r="N37" s="670"/>
      <c r="O37" s="670"/>
      <c r="P37" s="670"/>
      <c r="Q37" s="670"/>
    </row>
    <row r="38" spans="1:17" ht="20.100000000000001" customHeight="1">
      <c r="A38" s="50">
        <v>2</v>
      </c>
      <c r="B38" s="51" t="s">
        <v>123</v>
      </c>
      <c r="C38" s="66" t="s">
        <v>71</v>
      </c>
      <c r="D38" s="714">
        <f>D37-0.17</f>
        <v>4684.83</v>
      </c>
      <c r="E38" s="714"/>
      <c r="F38" s="714"/>
      <c r="G38" s="714"/>
      <c r="H38" s="46" t="s">
        <v>99</v>
      </c>
      <c r="I38" s="134">
        <v>751.06</v>
      </c>
      <c r="J38" s="135">
        <v>751.06</v>
      </c>
      <c r="N38" s="670"/>
      <c r="O38" s="670"/>
      <c r="P38" s="670"/>
      <c r="Q38" s="670"/>
    </row>
    <row r="39" spans="1:17" ht="20.100000000000001" customHeight="1">
      <c r="A39" s="50">
        <v>3</v>
      </c>
      <c r="B39" s="79" t="s">
        <v>124</v>
      </c>
      <c r="C39" s="66" t="s">
        <v>72</v>
      </c>
      <c r="D39" s="714">
        <v>23554</v>
      </c>
      <c r="E39" s="714"/>
      <c r="F39" s="714"/>
      <c r="G39" s="714"/>
      <c r="H39" s="46" t="s">
        <v>100</v>
      </c>
      <c r="I39" s="134">
        <v>35.15</v>
      </c>
      <c r="J39" s="135">
        <v>35.15</v>
      </c>
      <c r="N39" s="670"/>
      <c r="O39" s="670"/>
      <c r="P39" s="670"/>
      <c r="Q39" s="670"/>
    </row>
    <row r="40" spans="1:17" ht="20.100000000000001" customHeight="1" thickBot="1">
      <c r="A40" s="67">
        <v>4</v>
      </c>
      <c r="B40" s="68" t="s">
        <v>65</v>
      </c>
      <c r="C40" s="69" t="s">
        <v>121</v>
      </c>
      <c r="D40" s="715">
        <f>D39-0.265</f>
        <v>23553.735000000001</v>
      </c>
      <c r="E40" s="715"/>
      <c r="F40" s="715"/>
      <c r="G40" s="715"/>
      <c r="H40" s="68" t="s">
        <v>77</v>
      </c>
      <c r="I40" s="419">
        <v>24.8</v>
      </c>
      <c r="J40" s="70"/>
      <c r="N40" s="82"/>
      <c r="O40" s="82"/>
      <c r="P40" s="82"/>
      <c r="Q40" s="82"/>
    </row>
    <row r="41" spans="1:17" ht="13.5" thickTop="1">
      <c r="A41" s="91"/>
      <c r="I41" s="82"/>
      <c r="J41" s="82"/>
    </row>
    <row r="42" spans="1:17" ht="13.5" thickBot="1">
      <c r="A42" s="91"/>
      <c r="I42" s="82"/>
      <c r="J42" s="82"/>
    </row>
    <row r="43" spans="1:17" ht="17.25" thickTop="1">
      <c r="A43" s="672" t="s">
        <v>125</v>
      </c>
      <c r="B43" s="673"/>
      <c r="C43" s="109" t="str">
        <f>FIXED((AVERAGE(C62:C63)),(2-1-INT(LOG10(ABS(J91)))))</f>
        <v>18,934.8</v>
      </c>
      <c r="D43" s="112" t="s">
        <v>39</v>
      </c>
      <c r="E43" s="109" t="str">
        <f>FIXED((AVERAGE(C62:C63)/3785.412),(2-1-INT(LOG10(ABS(J91/3785.412)))))</f>
        <v>5.00205</v>
      </c>
      <c r="F43" s="111" t="s">
        <v>140</v>
      </c>
      <c r="G43" s="109" t="str">
        <f>FIXED((AVERAGE(C62:C63)/3785.412*231),(2-1-INT(LOG10(ABS(J91/3785.412*231)))))</f>
        <v>1,155.47</v>
      </c>
      <c r="H43" s="111" t="s">
        <v>141</v>
      </c>
      <c r="I43" s="82"/>
      <c r="J43" s="82"/>
    </row>
    <row r="44" spans="1:17" ht="17.25" thickBot="1">
      <c r="A44" s="646" t="s">
        <v>87</v>
      </c>
      <c r="B44" s="647"/>
      <c r="C44" s="110" t="str">
        <f>FIXED(J91,2-1-INT(LOG10(ABS(J91))))</f>
        <v>3.4</v>
      </c>
      <c r="D44" s="113" t="s">
        <v>39</v>
      </c>
      <c r="E44" s="110" t="str">
        <f>FIXED(J91/3785.412,2-1-INT(LOG10(ABS(J91/3785.412))))</f>
        <v>0.00090</v>
      </c>
      <c r="F44" s="114" t="s">
        <v>140</v>
      </c>
      <c r="G44" s="110" t="str">
        <f>FIXED(J91/3785.412*231,2-1-INT(LOG10(ABS(J91/3785.412*231))))</f>
        <v>0.21</v>
      </c>
      <c r="H44" s="114" t="s">
        <v>141</v>
      </c>
    </row>
    <row r="45" spans="1:17" ht="13.5" thickTop="1">
      <c r="A45" s="91"/>
      <c r="I45" s="82"/>
      <c r="J45" s="82"/>
    </row>
    <row r="46" spans="1:17" ht="13.5" thickBot="1">
      <c r="A46" s="648" t="s">
        <v>78</v>
      </c>
      <c r="B46" s="648"/>
      <c r="C46" s="648"/>
      <c r="D46" s="648"/>
      <c r="E46" s="648"/>
      <c r="F46" s="648"/>
      <c r="I46" s="82"/>
      <c r="J46" s="82"/>
    </row>
    <row r="47" spans="1:17" ht="16.5" thickTop="1">
      <c r="A47" s="626" t="s">
        <v>0</v>
      </c>
      <c r="B47" s="627"/>
      <c r="C47" s="649"/>
      <c r="D47" s="650" t="s">
        <v>56</v>
      </c>
      <c r="E47" s="651"/>
      <c r="F47" s="652"/>
      <c r="I47" s="56"/>
      <c r="J47" s="57"/>
    </row>
    <row r="48" spans="1:17" ht="18.75">
      <c r="A48" s="53" t="s">
        <v>104</v>
      </c>
      <c r="B48" s="54"/>
      <c r="C48" s="63">
        <f>(ROUND(((((D10*(133.322368421053))*(0.02896546))/((1-(((D10*133.322368421053)/(D9+273.15))*((0.00000158123)+((-0.000000029331)*(D9))+(0.00000000011043*D9^2)+(((0.000005707)+(-0.00000002051*D9))*((D11/100)*((1.00062+0.0000000314*(D10*133.322368421053)+0.00000056*D9^2)*((EXP(0.000012378847*(D9+273.15)^2+(-0.019121316*(D9+273.15))+33.93711047+(-6343.1645/(D9+273.15))))/(D10*133.322368421053)))))+((0.00019898+(-0.000002376*D9))*(((D11/100)*((1.00062+0.0000000314*(D10*133.322368421053)+0.00000056*D9^2)*((EXP(0.000012378847*(D9+273.15)^2+(-0.019121316)*(D9+273.15)+33.93711047+(-6343.1645)/(D9+273.15)))/(D10*133.322368421053))))^2))))+(((D10*133.322368421053)^2/((D9+273.15)^2)*(0.0000000000183+(-0.00000000765*(((D11/100)*((1.00062+0.0000000314*(D10*133.322368421053)+0.00000056*D9^2)*((EXP(0.000012378847*(D9+273.15)^2+(-0.019121316)*(D9+273.15)+33.93711047+(-6343.1645)/(D9+273.15)))/(D10*133.322368421053))))^2))))))*(8.314472)*(D9+273.15)))*(1-((0.378*((D11/100)*((1.00062+0.0000000314*(D10*133.322368421053)+0.00000056*D9^2)*((EXP(0.000012378847*(D9+273.15)^2+(-0.019121316)*(D9+273.15)+33.93711047+(-6343.1645)/(D9+273.15)))/(D10*133.322368421053)))))))),9))/1000</f>
        <v>1.16177139E-3</v>
      </c>
      <c r="D48" s="641" t="s">
        <v>88</v>
      </c>
      <c r="E48" s="641"/>
      <c r="F48" s="642"/>
      <c r="I48" s="55"/>
      <c r="J48" s="55"/>
    </row>
    <row r="49" spans="1:19" ht="17.25" customHeight="1">
      <c r="A49" s="53" t="s">
        <v>105</v>
      </c>
      <c r="B49" s="54"/>
      <c r="C49" s="63">
        <f>(ROUND(((((E10*(133.322368421053))*(0.02896546))/((1-(((E10*133.322368421053)/(E9+273.15))*((0.00000158123)+((-0.000000029331)*(E9))+(0.00000000011043*E9^2)+(((0.000005707)+(-0.00000002051*E9))*((E11/100)*((1.00062+0.0000000314*(E10*133.322368421053)+0.00000056*E9^2)*((EXP(0.000012378847*(E9+273.15)^2+(-0.019121316*(E9+273.15))+33.93711047+(-6343.1645/(E9+273.15))))/(E10*133.322368421053)))))+((0.00019898+(-0.000002376*E9))*(((E11/100)*((1.00062+0.0000000314*(E10*133.322368421053)+0.00000056*E9^2)*((EXP(0.000012378847*(E9+273.15)^2+(-0.019121316)*(E9+273.15)+33.93711047+(-6343.1645)/(E9+273.15)))/(E10*133.322368421053))))^2))))+(((E10*133.322368421053)^2/((E9+273.15)^2)*(0.0000000000183+(-0.00000000765*(((E11/100)*((1.00062+0.0000000314*(E10*133.322368421053)+0.00000056*E9^2)*((EXP(0.000012378847*(E9+273.15)^2+(-0.019121316)*(E9+273.15)+33.93711047+(-6343.1645)/(E9+273.15)))/(E10*133.322368421053))))^2))))))*(8.314472)*(E9+273.15)))*(1-((0.378*((E11/100)*((1.00062+0.0000000314*(E10*133.322368421053)+0.00000056*E9^2)*((EXP(0.000012378847*(E9+273.15)^2+(-0.019121316)*(E9+273.15)+33.93711047+(-6343.1645)/(E9+273.15)))/(E10*133.322368421053)))))))),9))/1000</f>
        <v>1.16177139E-3</v>
      </c>
      <c r="D49" s="641" t="s">
        <v>88</v>
      </c>
      <c r="E49" s="641"/>
      <c r="F49" s="642"/>
      <c r="H49" s="115"/>
      <c r="I49" s="55"/>
      <c r="J49" s="55"/>
    </row>
    <row r="50" spans="1:19" ht="12.75">
      <c r="A50" s="660"/>
      <c r="B50" s="661"/>
      <c r="C50" s="661"/>
      <c r="D50" s="661"/>
      <c r="E50" s="661"/>
      <c r="F50" s="662"/>
      <c r="H50" s="82"/>
      <c r="I50" s="82"/>
      <c r="J50" s="82"/>
    </row>
    <row r="51" spans="1:19" ht="12.75">
      <c r="A51" s="655" t="s">
        <v>1</v>
      </c>
      <c r="B51" s="656"/>
      <c r="C51" s="657"/>
      <c r="D51" s="663" t="s">
        <v>54</v>
      </c>
      <c r="E51" s="641"/>
      <c r="F51" s="642"/>
      <c r="H51" s="82"/>
      <c r="I51" s="82"/>
      <c r="J51" s="82"/>
    </row>
    <row r="52" spans="1:19" ht="18">
      <c r="A52" s="53" t="s">
        <v>67</v>
      </c>
      <c r="B52" s="42"/>
      <c r="C52" s="92">
        <f>ROUND(((999.97495*(1-(((I35-3.983035)^2*(I35+301.797))/(522528.9*(I35+69.34881)))))/1000)+(-4.612+0.106*I35)/1000000,8)</f>
        <v>0.99709616000000001</v>
      </c>
      <c r="D52" s="641" t="s">
        <v>91</v>
      </c>
      <c r="E52" s="641"/>
      <c r="F52" s="642"/>
      <c r="H52" s="93"/>
      <c r="I52" s="82"/>
      <c r="J52" s="82"/>
    </row>
    <row r="53" spans="1:19" ht="18">
      <c r="A53" s="53" t="s">
        <v>69</v>
      </c>
      <c r="B53" s="42"/>
      <c r="C53" s="94">
        <f>ROUND(((999.97495*(1-(((I40-3.983035)^2*(I40+301.797))/(522528.9*(I40+69.34881)))))/1000)+(-4.612+0.106*I40)/1000000,8)</f>
        <v>0.99709616000000001</v>
      </c>
      <c r="D53" s="641" t="s">
        <v>91</v>
      </c>
      <c r="E53" s="641"/>
      <c r="F53" s="642"/>
      <c r="H53" s="95"/>
      <c r="I53" s="82"/>
      <c r="J53" s="82"/>
    </row>
    <row r="54" spans="1:19" ht="12.75">
      <c r="A54" s="655" t="s">
        <v>2</v>
      </c>
      <c r="B54" s="656"/>
      <c r="C54" s="657"/>
      <c r="D54" s="663" t="s">
        <v>53</v>
      </c>
      <c r="E54" s="641"/>
      <c r="F54" s="642"/>
      <c r="H54" s="96"/>
      <c r="I54" s="96"/>
      <c r="J54" s="82"/>
    </row>
    <row r="55" spans="1:19" ht="12.75">
      <c r="A55" s="53" t="s">
        <v>42</v>
      </c>
      <c r="B55" s="42"/>
      <c r="C55" s="62">
        <f>ROUND(1-$B$7*1.8*(I35-(($D$7-32)*5/9)),6)</f>
        <v>0.99955899999999998</v>
      </c>
      <c r="D55" s="664" t="s">
        <v>135</v>
      </c>
      <c r="E55" s="641"/>
      <c r="F55" s="642"/>
      <c r="H55" s="96"/>
      <c r="I55" s="96"/>
      <c r="J55" s="82"/>
    </row>
    <row r="56" spans="1:19" ht="12.75">
      <c r="A56" s="53" t="s">
        <v>43</v>
      </c>
      <c r="B56" s="42"/>
      <c r="C56" s="62">
        <f>ROUND(1-$B$7*1.8*(I40-(($D$7-32)*5/9)),6)</f>
        <v>0.99955899999999998</v>
      </c>
      <c r="D56" s="664" t="s">
        <v>135</v>
      </c>
      <c r="E56" s="641"/>
      <c r="F56" s="642"/>
      <c r="H56" s="96"/>
      <c r="I56" s="97"/>
      <c r="J56" s="82"/>
    </row>
    <row r="57" spans="1:19" ht="26.25" customHeight="1">
      <c r="A57" s="655" t="s">
        <v>83</v>
      </c>
      <c r="B57" s="656"/>
      <c r="C57" s="657"/>
      <c r="D57" s="665"/>
      <c r="E57" s="666"/>
      <c r="F57" s="667"/>
      <c r="G57" s="617"/>
      <c r="H57" s="618"/>
      <c r="I57" s="96"/>
      <c r="J57" s="82"/>
    </row>
    <row r="58" spans="1:19" ht="12.75">
      <c r="A58" s="53" t="s">
        <v>84</v>
      </c>
      <c r="B58" s="42"/>
      <c r="C58" s="116">
        <f>(((D35/D34)*(B28+C28)*(1-C48/G28))-((D33/D32)*(B20+C20)*(1-C48/G20)))*(1/(C52-C48))</f>
        <v>18943.180440914704</v>
      </c>
      <c r="D58" s="414" t="s">
        <v>39</v>
      </c>
      <c r="E58" s="415"/>
      <c r="F58" s="416"/>
      <c r="H58" s="96"/>
      <c r="I58" s="98"/>
      <c r="J58" s="82"/>
    </row>
    <row r="59" spans="1:19" ht="12.75">
      <c r="A59" s="53" t="s">
        <v>85</v>
      </c>
      <c r="B59" s="42"/>
      <c r="C59" s="61">
        <f>((D40/D39)*(B28+C28)*(1-C49/G28)-(D38/D37)*(B20+C20)*(1-C49/G20))*(1/(C53-C49))</f>
        <v>18943.180440914704</v>
      </c>
      <c r="D59" s="414" t="s">
        <v>39</v>
      </c>
      <c r="E59" s="415"/>
      <c r="F59" s="416"/>
      <c r="H59" s="96"/>
      <c r="I59" s="96"/>
      <c r="J59" s="82"/>
    </row>
    <row r="60" spans="1:19" ht="12.75">
      <c r="A60" s="87"/>
      <c r="B60" s="413"/>
      <c r="C60" s="80"/>
      <c r="D60" s="414"/>
      <c r="E60" s="415"/>
      <c r="F60" s="416"/>
      <c r="H60" s="96"/>
      <c r="I60" s="96"/>
      <c r="J60" s="82"/>
      <c r="N60" s="515"/>
      <c r="O60" s="515"/>
      <c r="P60" s="515"/>
      <c r="Q60" s="515"/>
      <c r="R60" s="515"/>
      <c r="S60" s="515"/>
    </row>
    <row r="61" spans="1:19" ht="12.75">
      <c r="A61" s="655" t="s">
        <v>137</v>
      </c>
      <c r="B61" s="656"/>
      <c r="C61" s="657"/>
      <c r="D61" s="414"/>
      <c r="E61" s="415"/>
      <c r="F61" s="416"/>
      <c r="H61" s="96"/>
      <c r="I61" s="96"/>
      <c r="J61" s="82"/>
      <c r="N61" s="515"/>
      <c r="O61" s="515"/>
      <c r="P61" s="515"/>
      <c r="Q61" s="515"/>
      <c r="R61" s="515"/>
      <c r="S61" s="515"/>
    </row>
    <row r="62" spans="1:19" ht="14.25">
      <c r="A62" s="668" t="s">
        <v>133</v>
      </c>
      <c r="B62" s="669"/>
      <c r="C62" s="61">
        <f>C58*C55</f>
        <v>18934.826498340262</v>
      </c>
      <c r="D62" s="417" t="s">
        <v>117</v>
      </c>
      <c r="E62" s="415"/>
      <c r="F62" s="416"/>
      <c r="H62" s="96"/>
      <c r="I62" s="96"/>
      <c r="J62" s="82"/>
      <c r="N62" s="515"/>
      <c r="O62" s="515"/>
      <c r="P62" s="515"/>
      <c r="Q62" s="515"/>
      <c r="R62" s="515"/>
      <c r="S62" s="515"/>
    </row>
    <row r="63" spans="1:19" ht="15" thickBot="1">
      <c r="A63" s="624" t="s">
        <v>134</v>
      </c>
      <c r="B63" s="625"/>
      <c r="C63" s="76">
        <f>C59*C56</f>
        <v>18934.826498340262</v>
      </c>
      <c r="D63" s="77" t="s">
        <v>118</v>
      </c>
      <c r="E63" s="74"/>
      <c r="F63" s="75"/>
      <c r="H63" s="96"/>
      <c r="I63" s="96"/>
      <c r="J63" s="82"/>
      <c r="N63" s="515"/>
      <c r="O63" s="515"/>
      <c r="P63" s="515"/>
      <c r="Q63" s="515"/>
      <c r="R63" s="515"/>
      <c r="S63" s="515"/>
    </row>
    <row r="64" spans="1:19" ht="13.5" thickTop="1">
      <c r="A64" s="626" t="s">
        <v>113</v>
      </c>
      <c r="B64" s="627"/>
      <c r="C64" s="628"/>
      <c r="D64" s="629"/>
      <c r="E64" s="630"/>
      <c r="F64" s="631"/>
      <c r="H64" s="96"/>
      <c r="I64" s="96"/>
      <c r="J64" s="82"/>
      <c r="N64" s="515"/>
      <c r="O64" s="515"/>
      <c r="P64" s="515"/>
      <c r="Q64" s="515"/>
      <c r="R64" s="515"/>
      <c r="S64" s="515"/>
    </row>
    <row r="65" spans="1:19" ht="15.75">
      <c r="A65" s="78" t="s">
        <v>116</v>
      </c>
      <c r="B65" s="42"/>
      <c r="C65" s="59">
        <f>STDEV(C62:C63)</f>
        <v>0</v>
      </c>
      <c r="D65" s="632" t="s">
        <v>119</v>
      </c>
      <c r="E65" s="633"/>
      <c r="F65" s="634"/>
      <c r="H65" s="118"/>
      <c r="I65" s="96"/>
      <c r="J65" s="82"/>
      <c r="N65" s="515"/>
      <c r="O65" s="515"/>
      <c r="P65" s="515"/>
      <c r="Q65" s="515"/>
      <c r="R65" s="515"/>
      <c r="S65" s="515"/>
    </row>
    <row r="66" spans="1:19" ht="12.75">
      <c r="A66" s="99" t="s">
        <v>136</v>
      </c>
      <c r="B66" s="100"/>
      <c r="C66" s="101">
        <f>B11</f>
        <v>1.4</v>
      </c>
      <c r="D66" s="619" t="str">
        <f>IF(C66=0,"Incomplete",IF(C65&lt;(C66*3),"Difference is less than Control Limits, Pass", "Fail"))</f>
        <v>Difference is less than Control Limits, Pass</v>
      </c>
      <c r="E66" s="619"/>
      <c r="F66" s="620"/>
      <c r="H66" s="118"/>
      <c r="I66" s="82"/>
      <c r="J66" s="82"/>
      <c r="N66" s="515"/>
      <c r="O66" s="515"/>
      <c r="P66" s="515"/>
      <c r="Q66" s="515"/>
      <c r="R66" s="515"/>
      <c r="S66" s="515"/>
    </row>
    <row r="67" spans="1:19" ht="13.5" thickBot="1">
      <c r="A67" s="102"/>
      <c r="B67" s="103"/>
      <c r="C67" s="103"/>
      <c r="D67" s="621"/>
      <c r="E67" s="622"/>
      <c r="F67" s="623"/>
      <c r="H67" s="82"/>
      <c r="I67" s="82"/>
      <c r="J67" s="82"/>
      <c r="N67" s="515"/>
      <c r="O67" s="515"/>
      <c r="P67" s="515"/>
      <c r="Q67" s="515"/>
      <c r="R67" s="515"/>
      <c r="S67" s="515"/>
    </row>
    <row r="68" spans="1:19" ht="14.25" thickTop="1" thickBot="1">
      <c r="N68" s="515"/>
      <c r="O68" s="515"/>
      <c r="P68" s="515"/>
      <c r="Q68" s="515"/>
      <c r="R68" s="515"/>
      <c r="S68" s="515"/>
    </row>
    <row r="69" spans="1:19" ht="14.25" thickTop="1" thickBot="1">
      <c r="A69" s="516" t="s">
        <v>463</v>
      </c>
      <c r="B69" s="505" t="s">
        <v>464</v>
      </c>
      <c r="C69" s="517"/>
      <c r="D69" s="517"/>
      <c r="E69" s="612" t="s">
        <v>465</v>
      </c>
      <c r="F69" s="613"/>
      <c r="G69" s="614"/>
      <c r="H69" s="615"/>
      <c r="I69" s="615"/>
      <c r="J69" s="615"/>
      <c r="K69" s="616"/>
      <c r="L69" s="517"/>
      <c r="M69" s="515"/>
      <c r="N69" s="515"/>
      <c r="O69" s="515"/>
      <c r="P69" s="515"/>
      <c r="Q69" s="515"/>
      <c r="R69" s="515"/>
      <c r="S69" s="515"/>
    </row>
    <row r="70" spans="1:19" ht="16.5" thickTop="1" thickBot="1">
      <c r="A70" s="658" t="s">
        <v>466</v>
      </c>
      <c r="B70" s="658"/>
      <c r="C70" s="658"/>
      <c r="D70" s="658"/>
      <c r="E70" s="658"/>
      <c r="F70" s="658"/>
      <c r="G70" s="518"/>
      <c r="H70" s="659" t="s">
        <v>467</v>
      </c>
      <c r="I70" s="659"/>
      <c r="J70" s="659"/>
      <c r="K70" s="659"/>
      <c r="L70" s="517"/>
      <c r="M70" s="519"/>
      <c r="N70" s="515"/>
      <c r="O70" s="515"/>
      <c r="P70" s="515"/>
      <c r="Q70" s="515"/>
      <c r="R70" s="515"/>
      <c r="S70" s="515"/>
    </row>
    <row r="71" spans="1:19" ht="53.25" customHeight="1" thickTop="1" thickBot="1">
      <c r="A71" s="520" t="s">
        <v>468</v>
      </c>
      <c r="B71" s="521" t="s">
        <v>469</v>
      </c>
      <c r="C71" s="521" t="s">
        <v>470</v>
      </c>
      <c r="D71" s="521" t="s">
        <v>148</v>
      </c>
      <c r="E71" s="522" t="s">
        <v>471</v>
      </c>
      <c r="F71" s="521" t="s">
        <v>472</v>
      </c>
      <c r="G71" s="521" t="s">
        <v>473</v>
      </c>
      <c r="H71" s="521" t="s">
        <v>474</v>
      </c>
      <c r="I71" s="521" t="s">
        <v>234</v>
      </c>
      <c r="J71" s="521" t="s">
        <v>475</v>
      </c>
      <c r="K71" s="521" t="s">
        <v>476</v>
      </c>
      <c r="L71" s="523" t="s">
        <v>477</v>
      </c>
      <c r="M71" s="524" t="s">
        <v>478</v>
      </c>
      <c r="N71" s="515"/>
      <c r="O71" s="515"/>
      <c r="P71" s="515"/>
      <c r="Q71" s="515"/>
      <c r="R71" s="515"/>
      <c r="S71" s="515"/>
    </row>
    <row r="72" spans="1:19" ht="15.75" thickTop="1">
      <c r="A72" s="535" t="s">
        <v>45</v>
      </c>
      <c r="B72" s="549" t="s">
        <v>507</v>
      </c>
      <c r="C72" s="500">
        <f>(F28^2+F20^2)^0.5</f>
        <v>1.5808944771868868E-3</v>
      </c>
      <c r="D72" s="539" t="s">
        <v>44</v>
      </c>
      <c r="E72" s="487">
        <v>20</v>
      </c>
      <c r="F72" s="500">
        <f>C72/C52</f>
        <v>1.5854985111836022E-3</v>
      </c>
      <c r="G72" s="501" t="s">
        <v>26</v>
      </c>
      <c r="H72" s="476" t="s">
        <v>236</v>
      </c>
      <c r="I72" s="481">
        <f>IF(A72="","",IF(F72="","Finish",IF(H72="","",VLOOKUP(H72,'Lookup Tables'!C6:D13,2,))))</f>
        <v>1</v>
      </c>
      <c r="J72" s="495">
        <f t="shared" ref="J72:J85" si="0">IF(A72="","",IF(F72="","Finish",IF(I72="","",F72/I72)))</f>
        <v>1.5854985111836022E-3</v>
      </c>
      <c r="K72" s="482">
        <f>IF(J72="","",IF(J72="Finish","Finish",J72^2/SUMSQ($J$72:$J$85)))</f>
        <v>1.0455175818629183E-6</v>
      </c>
      <c r="L72" s="489"/>
      <c r="M72" s="525">
        <f>IF(J72="","",J72^4/E72)</f>
        <v>3.159609118728556E-13</v>
      </c>
      <c r="N72" s="515"/>
      <c r="O72" s="515"/>
      <c r="P72" s="515"/>
      <c r="Q72" s="515"/>
      <c r="R72" s="515"/>
      <c r="S72" s="515"/>
    </row>
    <row r="73" spans="1:19" ht="18.75" customHeight="1">
      <c r="A73" s="536" t="s">
        <v>120</v>
      </c>
      <c r="B73" s="550" t="s">
        <v>508</v>
      </c>
      <c r="C73" s="506">
        <f>0.000000000001</f>
        <v>9.9999999999999998E-13</v>
      </c>
      <c r="D73" s="541" t="s">
        <v>39</v>
      </c>
      <c r="E73" s="487">
        <v>10</v>
      </c>
      <c r="F73" s="502">
        <f>C73*16.387064</f>
        <v>1.6387063999999999E-11</v>
      </c>
      <c r="G73" s="501" t="s">
        <v>27</v>
      </c>
      <c r="H73" s="476" t="s">
        <v>52</v>
      </c>
      <c r="I73" s="481">
        <f>IF(A73="","",IF(F73="","Finish",IF(H73="","",VLOOKUP(H73,'Lookup Tables'!C6:D13,2,))))</f>
        <v>1.7320508075688772</v>
      </c>
      <c r="J73" s="495">
        <f t="shared" si="0"/>
        <v>9.4610758116276257E-12</v>
      </c>
      <c r="K73" s="482">
        <f t="shared" ref="K73:K83" si="1">IF(J73="","",IF(J73="Finish","Finish",J73^2/SUMSQ($J$72:$J$85)))</f>
        <v>3.722894320893279E-23</v>
      </c>
      <c r="L73" s="490"/>
      <c r="M73" s="526">
        <f>IF(J73="","",J73^4/E73)</f>
        <v>8.0123901798266943E-46</v>
      </c>
      <c r="N73" s="515"/>
      <c r="O73" s="515"/>
      <c r="P73" s="515"/>
      <c r="Q73" s="515"/>
      <c r="R73" s="515"/>
      <c r="S73" s="515"/>
    </row>
    <row r="74" spans="1:19" ht="15">
      <c r="A74" s="536" t="s">
        <v>96</v>
      </c>
      <c r="B74" s="550" t="s">
        <v>509</v>
      </c>
      <c r="C74" s="497">
        <f>B11</f>
        <v>1.4</v>
      </c>
      <c r="D74" s="540" t="s">
        <v>39</v>
      </c>
      <c r="E74" s="487">
        <v>10</v>
      </c>
      <c r="F74" s="502">
        <f>C74</f>
        <v>1.4</v>
      </c>
      <c r="G74" s="501" t="s">
        <v>27</v>
      </c>
      <c r="H74" s="476" t="s">
        <v>236</v>
      </c>
      <c r="I74" s="481">
        <f>IF(A74="","",IF(F74="","Finish",IF(H74="","",VLOOKUP(H74,'Lookup Tables'!C6:D13,2,))))</f>
        <v>1</v>
      </c>
      <c r="J74" s="495">
        <f t="shared" si="0"/>
        <v>1.4</v>
      </c>
      <c r="K74" s="482">
        <f t="shared" si="1"/>
        <v>0.81518416474113387</v>
      </c>
      <c r="L74" s="490"/>
      <c r="M74" s="526">
        <f t="shared" ref="M74:M85" si="2">IF(J74="","",J74^4/E74)</f>
        <v>0.38415999999999989</v>
      </c>
      <c r="N74" s="515"/>
      <c r="O74" s="515"/>
      <c r="P74" s="515"/>
      <c r="Q74" s="515"/>
      <c r="R74" s="515"/>
      <c r="S74" s="515"/>
    </row>
    <row r="75" spans="1:19" ht="15">
      <c r="A75" s="536" t="s">
        <v>47</v>
      </c>
      <c r="B75" s="550" t="s">
        <v>510</v>
      </c>
      <c r="C75" s="498">
        <f>F12</f>
        <v>0.1</v>
      </c>
      <c r="D75" s="540" t="s">
        <v>12</v>
      </c>
      <c r="E75" s="487">
        <v>10</v>
      </c>
      <c r="F75" s="503">
        <f>(C58*C55)-(C58*N78)+(D35/D34)*(B28+C28)/D33*(1-C48/G28)*(1/(C52-C48))-(D35/D34)*(B28+C28)/D33*(1-C48/G28)*(1/(O78-C48))</f>
        <v>9.4587119610859638E-2</v>
      </c>
      <c r="G75" s="501" t="s">
        <v>27</v>
      </c>
      <c r="H75" s="476" t="s">
        <v>52</v>
      </c>
      <c r="I75" s="481">
        <f>IF(A75="","",IF(F75="","Finish",IF(H75="","",VLOOKUP(H75,'Lookup Tables'!C6:D13,2,))))</f>
        <v>1.7320508075688772</v>
      </c>
      <c r="J75" s="495">
        <f t="shared" si="0"/>
        <v>5.4609898969201147E-2</v>
      </c>
      <c r="K75" s="482">
        <f t="shared" si="1"/>
        <v>1.2403447408042318E-3</v>
      </c>
      <c r="L75" s="490"/>
      <c r="M75" s="526">
        <f t="shared" si="2"/>
        <v>8.8937617723153306E-7</v>
      </c>
      <c r="N75" s="515"/>
      <c r="O75" s="515"/>
      <c r="P75" s="515"/>
      <c r="Q75" s="515"/>
      <c r="R75" s="515"/>
      <c r="S75" s="515"/>
    </row>
    <row r="76" spans="1:19" ht="15.75" thickBot="1">
      <c r="A76" s="536" t="s">
        <v>55</v>
      </c>
      <c r="B76" s="550" t="s">
        <v>511</v>
      </c>
      <c r="C76" s="499">
        <v>9.9999999999999995E-7</v>
      </c>
      <c r="D76" s="540" t="s">
        <v>86</v>
      </c>
      <c r="E76" s="487">
        <v>10</v>
      </c>
      <c r="F76" s="503">
        <f>(C58*C55)-(C58*N79)</f>
        <v>0.17048862396768527</v>
      </c>
      <c r="G76" s="501" t="s">
        <v>27</v>
      </c>
      <c r="H76" s="476" t="s">
        <v>52</v>
      </c>
      <c r="I76" s="481">
        <f>IF(A76="","",IF(F76="","Finish",IF(H76="","",VLOOKUP(H76,'Lookup Tables'!C6:D13,2,))))</f>
        <v>1.7320508075688772</v>
      </c>
      <c r="J76" s="495">
        <f t="shared" si="0"/>
        <v>9.8431652941511974E-2</v>
      </c>
      <c r="K76" s="482">
        <f t="shared" si="1"/>
        <v>4.0296675656674649E-3</v>
      </c>
      <c r="L76" s="490"/>
      <c r="M76" s="526">
        <f t="shared" si="2"/>
        <v>9.3872657492842474E-6</v>
      </c>
    </row>
    <row r="77" spans="1:19" ht="16.5" thickTop="1" thickBot="1">
      <c r="A77" s="536" t="s">
        <v>24</v>
      </c>
      <c r="B77" s="550" t="s">
        <v>512</v>
      </c>
      <c r="C77" s="499">
        <v>8.2999999999999999E-7</v>
      </c>
      <c r="D77" s="540" t="s">
        <v>149</v>
      </c>
      <c r="E77" s="487">
        <v>10</v>
      </c>
      <c r="F77" s="504">
        <f>(($D$35/$D$34)*($B$28+$C$28)*(1-$C$48/$G$28)-($D$33/$D$32)*($B$20+$C$20)*(1-$C$48/$G$20))*(1/($C$52-$C$48))-(($D$35/$D$34)*($B$28+$C$28)*(1-$C$48/$G$28)-($D$33/$D$32)*($B$20+$C$20)*(1-$C$48/$G$20))*(1/($N$80-$C$48))</f>
        <v>1.5787010510393884E-2</v>
      </c>
      <c r="G77" s="501" t="s">
        <v>27</v>
      </c>
      <c r="H77" s="476" t="s">
        <v>52</v>
      </c>
      <c r="I77" s="481">
        <f>IF(A77="","",IF(F77="","Finish",IF(H77="","",VLOOKUP(H77,'Lookup Tables'!C6:D13,2,))))</f>
        <v>1.7320508075688772</v>
      </c>
      <c r="J77" s="495">
        <f t="shared" si="0"/>
        <v>9.1146347678753604E-3</v>
      </c>
      <c r="K77" s="482">
        <f t="shared" si="1"/>
        <v>3.4552398898027176E-5</v>
      </c>
      <c r="L77" s="490"/>
      <c r="M77" s="526">
        <f t="shared" si="2"/>
        <v>6.9017159764906481E-10</v>
      </c>
      <c r="N77" s="653" t="s">
        <v>95</v>
      </c>
      <c r="O77" s="654"/>
    </row>
    <row r="78" spans="1:19" ht="15.75" thickTop="1">
      <c r="A78" s="536" t="s">
        <v>101</v>
      </c>
      <c r="B78" s="550" t="s">
        <v>513</v>
      </c>
      <c r="C78" s="498">
        <f>F9</f>
        <v>0.1</v>
      </c>
      <c r="D78" s="540" t="s">
        <v>12</v>
      </c>
      <c r="E78" s="487">
        <v>10</v>
      </c>
      <c r="F78" s="504">
        <f>(($D$35/$D$34)*($B$28+$C$28)*(1-C48/$G$28)-($D$33/$D$32)*($B$20+$C$20)*(1-C48/$G$20))*(1/($C$52-$N$81))-(($D$35/$D$34)*($B$28+$C$28)*(1-$N$81/$G$28)-($D$33/$D$32)*($B$20+$C$20)*(1-$N$81/$G$20))*(1/($C$52-$N$81))</f>
        <v>-9.9479125128709711E-4</v>
      </c>
      <c r="G78" s="501" t="s">
        <v>27</v>
      </c>
      <c r="H78" s="476" t="s">
        <v>52</v>
      </c>
      <c r="I78" s="481">
        <f>IF(A78="","",IF(F78="","Finish",IF(H78="","",VLOOKUP(H78,'Lookup Tables'!C6:D13,2,))))</f>
        <v>1.7320508075688772</v>
      </c>
      <c r="J78" s="495">
        <f t="shared" si="0"/>
        <v>-5.7434299671809015E-4</v>
      </c>
      <c r="K78" s="482">
        <f t="shared" si="1"/>
        <v>1.3719627595517711E-7</v>
      </c>
      <c r="L78" s="490"/>
      <c r="M78" s="526">
        <f t="shared" si="2"/>
        <v>1.0881413633198299E-14</v>
      </c>
      <c r="N78" s="466">
        <f>ROUND((1-B7*1.8*((I35+C75)-(D7-32)*5/9)),6)</f>
        <v>0.99955400000000005</v>
      </c>
      <c r="O78" s="467">
        <f>ROUND(((999.97495*(1-(((I35+C75-3.983035)^2*(I35+C75+301.797))/(522528.9*(I35+C75+69.34881)))))/1000)+(-4.612+0.106*I35+C75)/1000000,8)</f>
        <v>0.99707075000000001</v>
      </c>
    </row>
    <row r="79" spans="1:19" ht="15">
      <c r="A79" s="536" t="s">
        <v>48</v>
      </c>
      <c r="B79" s="550" t="s">
        <v>514</v>
      </c>
      <c r="C79" s="498">
        <f>F10</f>
        <v>0.5</v>
      </c>
      <c r="D79" s="540" t="s">
        <v>9</v>
      </c>
      <c r="E79" s="487">
        <v>10</v>
      </c>
      <c r="F79" s="504">
        <f>(($D$35/$D$34)*($B$28+$C$28)*(1-C48/$G$28)-($D$33/$D$32)*($B$20+$C$20)*(1-C48/$G$20))*(1/($C$52-$N$82))-(($D$35/$D$34)*($B$28+$C$28)*(1-$N$82/$G$28)-($D$33/$D$32)*($B$20+$C$20)*(1-$N$82/$G$20))*(1/($C$52-$N$82))</f>
        <v>1.8403382055112161E-3</v>
      </c>
      <c r="G79" s="501" t="s">
        <v>27</v>
      </c>
      <c r="H79" s="476" t="s">
        <v>52</v>
      </c>
      <c r="I79" s="481">
        <f>IF(A79="","",IF(F79="","Finish",IF(H79="","",VLOOKUP(H79,'Lookup Tables'!C6:D13,2,))))</f>
        <v>1.7320508075688772</v>
      </c>
      <c r="J79" s="495">
        <f t="shared" si="0"/>
        <v>1.0625197583518536E-3</v>
      </c>
      <c r="K79" s="482">
        <f t="shared" si="1"/>
        <v>4.6954118649162578E-7</v>
      </c>
      <c r="L79" s="490"/>
      <c r="M79" s="526">
        <f t="shared" si="2"/>
        <v>1.2745241215727074E-13</v>
      </c>
      <c r="N79" s="104">
        <f>ROUND(1-((B7*1.8+C76)*(I35-((D7-32)*5/9))),6)</f>
        <v>0.99955000000000005</v>
      </c>
      <c r="O79" s="459"/>
    </row>
    <row r="80" spans="1:19" ht="15">
      <c r="A80" s="536" t="s">
        <v>49</v>
      </c>
      <c r="B80" s="550" t="s">
        <v>515</v>
      </c>
      <c r="C80" s="498">
        <f>F11</f>
        <v>2</v>
      </c>
      <c r="D80" s="540" t="s">
        <v>15</v>
      </c>
      <c r="E80" s="487">
        <v>10</v>
      </c>
      <c r="F80" s="504">
        <f>(($D$35/$D$34)*($B$28+$C$28)*(1-C48/$G$28)-($D$33/$D$32)*($B$20+$C$20)*(1-C48/$G$20))*(1/($C$52-$N$83))-(($D$35/$D$34)*($B$28+$C$28)*(1-$N$83/$G$28)-($D$33/$D$32)*($B$20+$C$20)*(1-$N$83/$G$20))*(1/($C$52-$N$83))</f>
        <v>-6.9427820562850684E-4</v>
      </c>
      <c r="G80" s="501" t="s">
        <v>27</v>
      </c>
      <c r="H80" s="476" t="s">
        <v>52</v>
      </c>
      <c r="I80" s="481">
        <f>IF(A80="","",IF(F80="","Finish",IF(H80="","",VLOOKUP(H80,'Lookup Tables'!C6:D13,2,))))</f>
        <v>1.7320508075688772</v>
      </c>
      <c r="J80" s="495">
        <f t="shared" si="0"/>
        <v>-4.0084170891210879E-4</v>
      </c>
      <c r="K80" s="482">
        <f t="shared" si="1"/>
        <v>6.6826001079825493E-8</v>
      </c>
      <c r="L80" s="490"/>
      <c r="M80" s="526">
        <f t="shared" si="2"/>
        <v>2.5816158571064861E-15</v>
      </c>
      <c r="N80" s="104">
        <f>C52+C77</f>
        <v>0.99709698999999996</v>
      </c>
      <c r="O80" s="459"/>
    </row>
    <row r="81" spans="1:15" ht="15">
      <c r="A81" s="537" t="s">
        <v>50</v>
      </c>
      <c r="B81" s="550" t="s">
        <v>516</v>
      </c>
      <c r="C81" s="498">
        <f>0.000022*AVERAGE(C48:C49)</f>
        <v>2.5558970579999998E-8</v>
      </c>
      <c r="D81" s="540" t="s">
        <v>150</v>
      </c>
      <c r="E81" s="487">
        <v>10</v>
      </c>
      <c r="F81" s="504">
        <f>(($D$35/$D$34)*($B$28+$C$28)*(1-C48/$G$28)-($D$33/$D$32)*($B$20+$C$20)*(1-C48/$G$20))*(1/($C$52-$C$48))-(($D$35/$D$34)*($B$28+$C$28)*(1-($C$48+C81)/$G$28)-($D$33/$D$32)*($B$20+$C$20)*(1-($C$48+C81)/$G$20))*(1/($C$52-($C$48+C81)))</f>
        <v>-4.2561486043268815E-4</v>
      </c>
      <c r="G81" s="501" t="s">
        <v>27</v>
      </c>
      <c r="H81" s="476" t="s">
        <v>236</v>
      </c>
      <c r="I81" s="481">
        <f>IF(A81="","",IF(F81="","Finish",IF(H81="","",VLOOKUP(H81,'Lookup Tables'!C6:D13,2,))))</f>
        <v>1</v>
      </c>
      <c r="J81" s="495">
        <f t="shared" si="0"/>
        <v>-4.2561486043268815E-4</v>
      </c>
      <c r="K81" s="482">
        <f t="shared" si="1"/>
        <v>7.5341320793106286E-8</v>
      </c>
      <c r="L81" s="490"/>
      <c r="M81" s="526">
        <f t="shared" si="2"/>
        <v>3.2814601317240199E-15</v>
      </c>
      <c r="N81" s="463">
        <f>(ROUND(((((G10*(133.322368421053))*(0.02896546))/((1-(((G10*133.322368421053)/(O81+273.15))*((0.00000158123)+((-0.000000029331)*(O81))+(0.00000000011043*O81^2)+(((0.000005707)+(-0.00000002051*O81))*((G11/100)*((1.00062+0.0000000314*(G10*133.322368421053)+0.00000056*O81^2)*((EXP(0.000012378847*(O81+273.15)^2+(-0.019121316*(O81+273.15))+33.93711047+(-6343.1645/(O81+273.15))))/(G10*133.322368421053)))))+((0.00019898+(-0.000002376*O81))*(((G11/100)*((1.00062+0.0000000314*(G10*133.322368421053)+0.00000056*O81^2)*((EXP(0.000012378847*(O81+273.15)^2+(-0.019121316)*(O81+273.15)+33.93711047+(-6343.1645)/(O81+273.15)))/(G10*133.322368421053))))^2))))+(((G10*133.322368421053)^2/((O81+273.15)^2)*(0.0000000000183+(-0.00000000765*(((G11/100)*((1.00062+0.0000000314*(G10*133.322368421053)+0.00000056*O81^2)*((EXP(0.000012378847*(O81+273.15)^2+(-0.019121316)*(O81+273.15)+33.93711047+(-6343.1645)/(O81+273.15)))/(G10*133.322368421053))))^2))))))*(8.314472)*(O81+273.15)))*(1-((0.378*((G11/100)*((1.00062+0.0000000314*(G10*133.322368421053)+0.00000056*O81^2)*((EXP(0.000012378847*(O81+273.15)^2+(-0.019121316)*(O81+273.15)+33.93711047+(-6343.1645)/(O81+273.15)))/(G10*133.322368421053)))))))),9))/1000</f>
        <v>1.1613513349999999E-3</v>
      </c>
      <c r="O81" s="460">
        <f>(G9+C78)</f>
        <v>25.975000000000001</v>
      </c>
    </row>
    <row r="82" spans="1:15" ht="15">
      <c r="A82" s="538" t="s">
        <v>142</v>
      </c>
      <c r="B82" s="550" t="s">
        <v>518</v>
      </c>
      <c r="C82" s="498">
        <f>(I35-((D7-32)/1.8))*0.013*0.0005</f>
        <v>6.0088888888888891E-5</v>
      </c>
      <c r="D82" s="540"/>
      <c r="E82" s="488">
        <v>10</v>
      </c>
      <c r="F82" s="498">
        <f>C82*C62</f>
        <v>1.1377726855891572</v>
      </c>
      <c r="G82" s="501" t="s">
        <v>27</v>
      </c>
      <c r="H82" s="476" t="s">
        <v>52</v>
      </c>
      <c r="I82" s="481">
        <f>IF(A82="","",IF(F82="","Finish",IF(H82="","",VLOOKUP(H82,'Lookup Tables'!C6:D13,2,))))</f>
        <v>1.7320508075688772</v>
      </c>
      <c r="J82" s="495">
        <f t="shared" si="0"/>
        <v>0.65689336630150341</v>
      </c>
      <c r="K82" s="482">
        <f t="shared" si="1"/>
        <v>0.1794689887229533</v>
      </c>
      <c r="L82" s="490"/>
      <c r="M82" s="526">
        <f t="shared" si="2"/>
        <v>1.8619992619738047E-2</v>
      </c>
      <c r="N82" s="463">
        <f>(ROUND(((((O82*(133.322368421053))*(0.02896546))/((1-(((O82*133.322368421053)/(G9+273.15))*((0.00000158123)+((-0.000000029331)*(G9))+(0.00000000011043*G9^2)+(((0.000005707)+(-0.00000002051*G9))*((G11/100)*((1.00062+0.0000000314*(O82*133.322368421053)+0.00000056*G9^2)*((EXP(0.000012378847*(G9+273.15)^2+(-0.019121316*(G9+273.15))+33.93711047+(-6343.1645/(G9+273.15))))/(O82*133.322368421053)))))+((0.00019898+(-0.000002376*G9))*(((G11/100)*((1.00062+0.0000000314*(O82*133.322368421053)+0.00000056*G9^2)*((EXP(0.000012378847*(G9+273.15)^2+(-0.019121316)*(G9+273.15)+33.93711047+(-6343.1645)/(G9+273.15)))/(O82*133.322368421053))))^2))))+(((O82*133.322368421053)^2/((G9+273.15)^2)*(0.0000000000183+(-0.00000000765*(((G11/100)*((1.00062+0.0000000314*(O82*133.322368421053)+0.00000056*G9^2)*((EXP(0.000012378847*(G9+273.15)^2+(-0.019121316)*(G9+273.15)+33.93711047+(-6343.1645)/(G9+273.15)))/(O82*133.322368421053))))^2))))))*(8.314472)*(G9+273.15)))*(1-((0.378*((G11/100)*((1.00062+0.0000000314*(O82*133.322368421053)+0.00000056*G9^2)*((EXP(0.000012378847*(G9+273.15)^2+(-0.019121316)*(G9+273.15)+33.93711047+(-6343.1645)/(G9+273.15)))/(O82*133.322368421053)))))))),9))/1000</f>
        <v>1.16254848E-3</v>
      </c>
      <c r="O82" s="460">
        <f>(G10+C79)</f>
        <v>751.56</v>
      </c>
    </row>
    <row r="83" spans="1:15" ht="15">
      <c r="A83" s="538" t="s">
        <v>51</v>
      </c>
      <c r="B83" s="550" t="s">
        <v>517</v>
      </c>
      <c r="C83" s="499">
        <v>0.05</v>
      </c>
      <c r="D83" s="540" t="s">
        <v>149</v>
      </c>
      <c r="E83" s="496">
        <v>10</v>
      </c>
      <c r="F83" s="504">
        <f>(($D$35/$D$34)*($B$28+$C$28)*(1-C48/$G$28)-($D$33/$D$32)*($B$20+$C$20)*(1-C48/$G$20))*(1/($C$52-$C$48))-(($D$35/$D$34)*($B$28+$C$28)*(1-($C$48)/($G$28+C83))-($D$33/$D$32)*($B$20+$C$20)*(1-($C$48)/($G$20+C83)))*(1/($C$52-($C$48)))</f>
        <v>-1.708916266579763E-2</v>
      </c>
      <c r="G83" s="501" t="s">
        <v>27</v>
      </c>
      <c r="H83" s="476" t="s">
        <v>236</v>
      </c>
      <c r="I83" s="481">
        <f>IF(A82="","",IF(F82="","Finish",IF(H82="","",VLOOKUP(H82,'Lookup Tables'!C6:D13,2,))))</f>
        <v>1.7320508075688772</v>
      </c>
      <c r="J83" s="495">
        <f t="shared" si="0"/>
        <v>-9.866432665323565E-3</v>
      </c>
      <c r="K83" s="482">
        <f t="shared" si="1"/>
        <v>4.0487408176716595E-5</v>
      </c>
      <c r="L83" s="490"/>
      <c r="M83" s="526">
        <f t="shared" si="2"/>
        <v>9.4763398044094115E-10</v>
      </c>
      <c r="N83" s="463">
        <f>(ROUND(((((G10*(133.322368421053))*(0.02896546))/((1-(((G10*133.322368421053)/(G9+273.15))*((0.00000158123)+((-0.000000029331)*(G9))+(0.00000000011043*G9^2)+(((0.000005707)+(-0.00000002051*G9))*((O83/100)*((1.00062+0.0000000314*(G10*133.322368421053)+0.00000056*G9^2)*((EXP(0.000012378847*(G9+273.15)^2+(-0.019121316*(G9+273.15))+33.93711047+(-6343.1645/(G9+273.15))))/(G10*133.322368421053)))))+((0.00019898+(-0.000002376*G9))*(((O83/100)*((1.00062+0.0000000314*(G10*133.322368421053)+0.00000056*G9^2)*((EXP(0.000012378847*(G9+273.15)^2+(-0.019121316)*(G9+273.15)+33.93711047+(-6343.1645)/(G9+273.15)))/(G10*133.322368421053))))^2))))+(((G10*133.322368421053)^2/((G9+273.15)^2)*(0.0000000000183+(-0.00000000765*(((O83/100)*((1.00062+0.0000000314*(G10*133.322368421053)+0.00000056*G9^2)*((EXP(0.000012378847*(G9+273.15)^2+(-0.019121316)*(G9+273.15)+33.93711047+(-6343.1645)/(G9+273.15)))/(G10*133.322368421053))))^2))))))*(8.314472)*(G9+273.15)))*(1-((0.378*((O83/100)*((1.00062+0.0000000314*(G10*133.322368421053)+0.00000056*G9^2)*((EXP(0.000012378847*(G9+273.15)^2+(-0.019121316)*(G9+273.15)+33.93711047+(-6343.1645)/(G9+273.15)))/(G10*133.322368421053)))))))),9))/1000</f>
        <v>1.161478228E-3</v>
      </c>
      <c r="O83" s="460">
        <f>(G11+C80)</f>
        <v>37.15</v>
      </c>
    </row>
    <row r="84" spans="1:15" ht="12.75" customHeight="1">
      <c r="A84" s="486"/>
      <c r="B84" s="496"/>
      <c r="C84" s="527"/>
      <c r="D84" s="540"/>
      <c r="E84" s="484"/>
      <c r="F84" s="492"/>
      <c r="G84" s="476"/>
      <c r="H84" s="476"/>
      <c r="I84" s="481"/>
      <c r="J84" s="495" t="str">
        <f t="shared" si="0"/>
        <v/>
      </c>
      <c r="K84" s="482" t="str">
        <f t="shared" ref="K84:K85" si="3">IF(J84="","",IF(J84="Finish","Finish",J84^2/SUMSQ(J84:J97)))</f>
        <v/>
      </c>
      <c r="L84" s="491"/>
      <c r="M84" s="526" t="str">
        <f t="shared" si="2"/>
        <v/>
      </c>
      <c r="N84" s="507"/>
      <c r="O84" s="461"/>
    </row>
    <row r="85" spans="1:15" ht="15">
      <c r="A85" s="485"/>
      <c r="B85" s="496"/>
      <c r="C85" s="527"/>
      <c r="D85" s="540"/>
      <c r="E85" s="484"/>
      <c r="F85" s="492"/>
      <c r="G85" s="476"/>
      <c r="H85" s="476"/>
      <c r="I85" s="481"/>
      <c r="J85" s="495" t="str">
        <f t="shared" si="0"/>
        <v/>
      </c>
      <c r="K85" s="482" t="str">
        <f t="shared" si="3"/>
        <v/>
      </c>
      <c r="L85" s="491"/>
      <c r="M85" s="526" t="str">
        <f t="shared" si="2"/>
        <v/>
      </c>
      <c r="N85" s="507"/>
      <c r="O85" s="461"/>
    </row>
    <row r="86" spans="1:15" ht="15.75" thickBot="1">
      <c r="A86" s="600" t="s">
        <v>479</v>
      </c>
      <c r="B86" s="601"/>
      <c r="C86" s="601"/>
      <c r="D86" s="601"/>
      <c r="E86" s="602"/>
      <c r="F86" s="468"/>
      <c r="G86" s="469"/>
      <c r="H86" s="469"/>
      <c r="I86" s="469"/>
      <c r="J86" s="479"/>
      <c r="K86" s="483">
        <f>SUM(K72:K83)</f>
        <v>0.99999999999999978</v>
      </c>
      <c r="L86" s="480"/>
      <c r="M86" s="526">
        <f>IF(SUM(M72:M85)=0,"",SUM(M72:M85))</f>
        <v>0.40279027089993019</v>
      </c>
      <c r="N86" s="508"/>
      <c r="O86" s="462"/>
    </row>
    <row r="87" spans="1:15" ht="12.75" customHeight="1" thickTop="1">
      <c r="A87" s="470" t="s">
        <v>480</v>
      </c>
      <c r="B87" s="471" t="s">
        <v>481</v>
      </c>
      <c r="C87" s="472"/>
      <c r="D87" s="472"/>
      <c r="E87" s="493">
        <f>IF(COUNTA(A72:A85)&lt;&gt;COUNTA(E72:E85),"Entries incomplete.",IF(SUM(E72:E85)=0,"Entries incomplete.",MIN(E72:E85)))</f>
        <v>10</v>
      </c>
      <c r="F87" s="472"/>
      <c r="G87" s="473"/>
      <c r="H87" s="473"/>
      <c r="I87" s="473"/>
      <c r="J87" s="472"/>
      <c r="K87" s="474"/>
      <c r="L87" s="475"/>
      <c r="M87" s="528"/>
    </row>
    <row r="88" spans="1:15" ht="12.75" customHeight="1">
      <c r="A88" s="470" t="s">
        <v>482</v>
      </c>
      <c r="B88" s="471" t="s">
        <v>483</v>
      </c>
      <c r="C88" s="472"/>
      <c r="D88" s="472"/>
      <c r="E88" s="529">
        <f>IF(M91="","TBD",M91)</f>
        <v>14</v>
      </c>
      <c r="F88" s="472"/>
      <c r="G88" s="473"/>
      <c r="H88" s="473"/>
      <c r="I88" s="473"/>
      <c r="J88" s="472"/>
      <c r="K88" s="472"/>
      <c r="L88" s="475"/>
      <c r="M88" s="494"/>
    </row>
    <row r="89" spans="1:15" ht="12.75" customHeight="1">
      <c r="A89" s="603" t="s">
        <v>484</v>
      </c>
      <c r="B89" s="604"/>
      <c r="C89" s="604"/>
      <c r="D89" s="604"/>
      <c r="E89" s="604"/>
      <c r="F89" s="604"/>
      <c r="G89" s="604"/>
      <c r="H89" s="604"/>
      <c r="I89" s="605"/>
      <c r="J89" s="478">
        <f>SQRT(SUMSQ(J72:J85))</f>
        <v>1.5506013877084484</v>
      </c>
      <c r="K89" s="606" t="s">
        <v>485</v>
      </c>
      <c r="L89" s="607"/>
      <c r="M89" s="528">
        <f>IF(J89^4=0,"",J89^4)</f>
        <v>5.7809694353921772</v>
      </c>
    </row>
    <row r="90" spans="1:15" ht="12.75" customHeight="1">
      <c r="A90" s="610" t="s">
        <v>486</v>
      </c>
      <c r="B90" s="611"/>
      <c r="C90" s="611"/>
      <c r="D90" s="611"/>
      <c r="E90" s="611"/>
      <c r="F90" s="611"/>
      <c r="G90" s="611"/>
      <c r="H90" s="611"/>
      <c r="I90" s="611"/>
      <c r="J90" s="478">
        <f>IF(E87="Entries incomplete.","TBD",IF(E87&gt;0,ROUND(TINV(0.0455,MAX(E87:E88)),2),"TBD"))</f>
        <v>2.2000000000000002</v>
      </c>
      <c r="K90" s="608"/>
      <c r="L90" s="609"/>
      <c r="M90" s="526"/>
    </row>
    <row r="91" spans="1:15" ht="12.75" customHeight="1">
      <c r="A91" s="610" t="s">
        <v>487</v>
      </c>
      <c r="B91" s="611"/>
      <c r="C91" s="611"/>
      <c r="D91" s="611"/>
      <c r="E91" s="611"/>
      <c r="F91" s="611"/>
      <c r="G91" s="611"/>
      <c r="H91" s="611"/>
      <c r="I91" s="611"/>
      <c r="J91" s="478">
        <f>IF(J90="TBD","TBD",J89*J90)</f>
        <v>3.4113230529585867</v>
      </c>
      <c r="K91" s="530"/>
      <c r="L91" s="531"/>
      <c r="M91" s="526">
        <f>IF(M86="","",(ROUNDDOWN((M89/M86),0)))</f>
        <v>14</v>
      </c>
    </row>
    <row r="92" spans="1:15" ht="12.75" customHeight="1" thickBot="1">
      <c r="A92" s="598" t="s">
        <v>488</v>
      </c>
      <c r="B92" s="599"/>
      <c r="C92" s="599"/>
      <c r="D92" s="599"/>
      <c r="E92" s="599"/>
      <c r="F92" s="599"/>
      <c r="G92" s="599"/>
      <c r="H92" s="599"/>
      <c r="I92" s="599"/>
      <c r="J92" s="477" t="str">
        <f>IF(J90="TBD","TBD",IF(J91&lt;&gt;0,FIXED(J91,2-1-INT(LOG10(ABS(J91)))),"TBD"))</f>
        <v>3.4</v>
      </c>
      <c r="K92" s="532" t="s">
        <v>464</v>
      </c>
      <c r="L92" s="533"/>
      <c r="M92" s="534"/>
    </row>
    <row r="93" spans="1:15" ht="12.75" customHeight="1" thickTop="1"/>
    <row r="94" spans="1:15" ht="12.75" customHeight="1"/>
    <row r="95" spans="1:15" ht="12.75" customHeight="1"/>
  </sheetData>
  <sheetProtection algorithmName="SHA-512" hashValue="bvraUQa7v9lJoGzSIz+TqQlSd9AP6QxXcJYZrCvC4lfjgCs2g7ZpTvA/9nv8I0UHELOCXrPSCUeBJ7MCPiepsQ==" saltValue="TB/duxcR97Y65nXptx+Y9g==" spinCount="100000" sheet="1" objects="1" scenarios="1" formatCells="0" formatColumns="0" formatRows="0"/>
  <mergeCells count="81">
    <mergeCell ref="C12:E12"/>
    <mergeCell ref="A13:F13"/>
    <mergeCell ref="A14:A15"/>
    <mergeCell ref="B14:B15"/>
    <mergeCell ref="C14:C15"/>
    <mergeCell ref="D14:D15"/>
    <mergeCell ref="E14:E15"/>
    <mergeCell ref="D6:G6"/>
    <mergeCell ref="A1:J1"/>
    <mergeCell ref="A2:J2"/>
    <mergeCell ref="D4:G4"/>
    <mergeCell ref="H4:J4"/>
    <mergeCell ref="D5:G5"/>
    <mergeCell ref="M33:P33"/>
    <mergeCell ref="A21:F21"/>
    <mergeCell ref="A22:A23"/>
    <mergeCell ref="B22:B23"/>
    <mergeCell ref="C22:C23"/>
    <mergeCell ref="D22:D23"/>
    <mergeCell ref="E22:E23"/>
    <mergeCell ref="G22:G23"/>
    <mergeCell ref="A29:F29"/>
    <mergeCell ref="A30:F30"/>
    <mergeCell ref="D31:G31"/>
    <mergeCell ref="D32:G32"/>
    <mergeCell ref="D33:G33"/>
    <mergeCell ref="M34:P34"/>
    <mergeCell ref="D35:G35"/>
    <mergeCell ref="M35:P35"/>
    <mergeCell ref="D36:G36"/>
    <mergeCell ref="N38:Q38"/>
    <mergeCell ref="D37:G37"/>
    <mergeCell ref="N37:Q37"/>
    <mergeCell ref="D34:G34"/>
    <mergeCell ref="N39:Q39"/>
    <mergeCell ref="D40:G40"/>
    <mergeCell ref="A43:B43"/>
    <mergeCell ref="A47:C47"/>
    <mergeCell ref="D47:F47"/>
    <mergeCell ref="A46:F46"/>
    <mergeCell ref="D48:F48"/>
    <mergeCell ref="D49:F49"/>
    <mergeCell ref="D38:G38"/>
    <mergeCell ref="N77:O77"/>
    <mergeCell ref="A70:F70"/>
    <mergeCell ref="H70:K70"/>
    <mergeCell ref="D66:F66"/>
    <mergeCell ref="D55:F55"/>
    <mergeCell ref="D56:F56"/>
    <mergeCell ref="A57:C57"/>
    <mergeCell ref="D57:F57"/>
    <mergeCell ref="A62:B62"/>
    <mergeCell ref="A63:B63"/>
    <mergeCell ref="A64:C64"/>
    <mergeCell ref="D64:F64"/>
    <mergeCell ref="E69:G69"/>
    <mergeCell ref="H14:H15"/>
    <mergeCell ref="F22:F23"/>
    <mergeCell ref="H22:H23"/>
    <mergeCell ref="F14:F15"/>
    <mergeCell ref="A44:B44"/>
    <mergeCell ref="D39:G39"/>
    <mergeCell ref="G14:G15"/>
    <mergeCell ref="H69:K69"/>
    <mergeCell ref="D67:F67"/>
    <mergeCell ref="A50:F50"/>
    <mergeCell ref="A51:C51"/>
    <mergeCell ref="D51:F51"/>
    <mergeCell ref="D52:F52"/>
    <mergeCell ref="D53:F53"/>
    <mergeCell ref="A54:C54"/>
    <mergeCell ref="D54:F54"/>
    <mergeCell ref="G57:H57"/>
    <mergeCell ref="A61:C61"/>
    <mergeCell ref="D65:F65"/>
    <mergeCell ref="A92:I92"/>
    <mergeCell ref="A86:E86"/>
    <mergeCell ref="A89:I89"/>
    <mergeCell ref="K89:L90"/>
    <mergeCell ref="A90:I90"/>
    <mergeCell ref="A91:I91"/>
  </mergeCells>
  <conditionalFormatting sqref="D66">
    <cfRule type="containsText" dxfId="0" priority="1" operator="containsText" text="Pass">
      <formula>NOT(ISERROR(SEARCH("Pass",D66)))</formula>
    </cfRule>
  </conditionalFormatting>
  <dataValidations count="4">
    <dataValidation type="list" allowBlank="1" showInputMessage="1" showErrorMessage="1" prompt="Be sure to select the correct units for your measurement result." sqref="B69">
      <formula1>Units</formula1>
    </dataValidation>
    <dataValidation type="list" allowBlank="1" showInputMessage="1" showErrorMessage="1" prompt="Select the probability distribution.  If Type B, rectangular is the default and is often used for digital instrument inputs.  Triangular may be selected for analog readings, including those with a meniscus." sqref="H72:H85">
      <formula1>ProbabilityList</formula1>
    </dataValidation>
    <dataValidation type="list" allowBlank="1" showInputMessage="1" showErrorMessage="1" prompt="Select A if the estimate is statistically based; else select B." sqref="G72:G85">
      <formula1>UncTypeList</formula1>
    </dataValidation>
    <dataValidation type="list" allowBlank="1" showInputMessage="1" showErrorMessage="1" sqref="D72:D85">
      <formula1>Units</formula1>
    </dataValidation>
  </dataValidations>
  <pageMargins left="0.7" right="0.7" top="0.75" bottom="0.75" header="0.3" footer="0.3"/>
  <pageSetup scale="66" fitToHeight="2" orientation="landscape" r:id="rId1"/>
  <headerFooter alignWithMargins="0">
    <oddHeader>&amp;C&amp;"Times New Roman,Regular"&amp;F</oddHeader>
    <oddFooter>&amp;C&amp;"Times New Roman,Regular"Page &amp;P of &amp;N</oddFooter>
  </headerFooter>
  <rowBreaks count="1" manualBreakCount="1">
    <brk id="45" max="9" man="1"/>
  </rowBreaks>
  <ignoredErrors>
    <ignoredError sqref="G20 G28" formula="1"/>
    <ignoredError sqref="E43:E44 C43:C44 G43:G44" evalError="1"/>
  </ignoredErrors>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6</xdr:col>
                <xdr:colOff>276225</xdr:colOff>
                <xdr:row>56</xdr:row>
                <xdr:rowOff>228600</xdr:rowOff>
              </from>
              <to>
                <xdr:col>11</xdr:col>
                <xdr:colOff>733425</xdr:colOff>
                <xdr:row>60</xdr:row>
                <xdr:rowOff>47625</xdr:rowOff>
              </to>
            </anchor>
          </objectPr>
        </oleObject>
      </mc:Choice>
      <mc:Fallback>
        <oleObject progId="Equation.3" shapeId="21505" r:id="rId4"/>
      </mc:Fallback>
    </mc:AlternateContent>
    <mc:AlternateContent xmlns:mc="http://schemas.openxmlformats.org/markup-compatibility/2006">
      <mc:Choice Requires="x14">
        <oleObject progId="Equation.3" shapeId="21506" r:id="rId6">
          <objectPr defaultSize="0" autoPict="0" r:id="rId7">
            <anchor moveWithCells="1" sizeWithCells="1">
              <from>
                <xdr:col>6</xdr:col>
                <xdr:colOff>266700</xdr:colOff>
                <xdr:row>54</xdr:row>
                <xdr:rowOff>0</xdr:rowOff>
              </from>
              <to>
                <xdr:col>8</xdr:col>
                <xdr:colOff>581025</xdr:colOff>
                <xdr:row>56</xdr:row>
                <xdr:rowOff>19050</xdr:rowOff>
              </to>
            </anchor>
          </objectPr>
        </oleObject>
      </mc:Choice>
      <mc:Fallback>
        <oleObject progId="Equation.3" shapeId="2150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showGridLines="0" topLeftCell="A7" workbookViewId="0">
      <selection activeCell="E9" sqref="E9"/>
    </sheetView>
  </sheetViews>
  <sheetFormatPr defaultColWidth="8.25" defaultRowHeight="15.75"/>
  <cols>
    <col min="1" max="1" width="2" style="1" customWidth="1"/>
    <col min="2" max="2" width="9.125" style="1" customWidth="1"/>
    <col min="3" max="3" width="12.125" style="1" customWidth="1"/>
    <col min="4" max="4" width="10.25" style="1" customWidth="1"/>
    <col min="5" max="5" width="83.75" style="1" customWidth="1"/>
    <col min="6" max="16384" width="8.25" style="1"/>
  </cols>
  <sheetData>
    <row r="1" spans="2:5" ht="16.5" thickBot="1"/>
    <row r="2" spans="2:5" ht="16.5" thickTop="1">
      <c r="B2" s="136" t="s">
        <v>155</v>
      </c>
      <c r="C2" s="137" t="s">
        <v>60</v>
      </c>
      <c r="D2" s="137" t="s">
        <v>156</v>
      </c>
      <c r="E2" s="138" t="s">
        <v>157</v>
      </c>
    </row>
    <row r="3" spans="2:5" ht="78.75">
      <c r="B3" s="139"/>
      <c r="C3" s="557">
        <v>39128</v>
      </c>
      <c r="D3" s="559"/>
      <c r="E3" s="140" t="s">
        <v>158</v>
      </c>
    </row>
    <row r="4" spans="2:5" ht="63">
      <c r="B4" s="139"/>
      <c r="C4" s="558">
        <v>41109</v>
      </c>
      <c r="D4" s="559"/>
      <c r="E4" s="140" t="s">
        <v>102</v>
      </c>
    </row>
    <row r="5" spans="2:5">
      <c r="B5" s="139"/>
      <c r="C5" s="558">
        <v>41292</v>
      </c>
      <c r="D5" s="559"/>
      <c r="E5" s="140" t="s">
        <v>160</v>
      </c>
    </row>
    <row r="6" spans="2:5" ht="94.5" customHeight="1">
      <c r="B6" s="139"/>
      <c r="C6" s="558">
        <v>41737</v>
      </c>
      <c r="D6" s="511" t="s">
        <v>491</v>
      </c>
      <c r="E6" s="512" t="s">
        <v>496</v>
      </c>
    </row>
    <row r="7" spans="2:5" ht="76.5">
      <c r="B7" s="139"/>
      <c r="C7" s="558">
        <v>41899</v>
      </c>
      <c r="D7" s="511" t="s">
        <v>491</v>
      </c>
      <c r="E7" s="556" t="s">
        <v>519</v>
      </c>
    </row>
    <row r="8" spans="2:5">
      <c r="B8" s="139"/>
      <c r="C8" s="563">
        <v>42236</v>
      </c>
      <c r="D8" s="559" t="s">
        <v>520</v>
      </c>
      <c r="E8" s="141" t="s">
        <v>521</v>
      </c>
    </row>
    <row r="9" spans="2:5">
      <c r="B9" s="139"/>
      <c r="C9" s="559"/>
      <c r="D9" s="559"/>
      <c r="E9" s="141"/>
    </row>
    <row r="10" spans="2:5">
      <c r="B10" s="139"/>
      <c r="C10" s="559"/>
      <c r="D10" s="559"/>
      <c r="E10" s="141"/>
    </row>
    <row r="11" spans="2:5">
      <c r="B11" s="139"/>
      <c r="C11" s="559"/>
      <c r="D11" s="559"/>
      <c r="E11" s="141"/>
    </row>
    <row r="12" spans="2:5">
      <c r="B12" s="139"/>
      <c r="C12" s="559"/>
      <c r="D12" s="559"/>
      <c r="E12" s="141"/>
    </row>
    <row r="13" spans="2:5">
      <c r="B13" s="139"/>
      <c r="C13" s="559"/>
      <c r="D13" s="559"/>
      <c r="E13" s="141"/>
    </row>
    <row r="14" spans="2:5">
      <c r="B14" s="139"/>
      <c r="C14" s="559"/>
      <c r="D14" s="559"/>
      <c r="E14" s="141"/>
    </row>
    <row r="15" spans="2:5">
      <c r="B15" s="139"/>
      <c r="C15" s="559"/>
      <c r="D15" s="559"/>
      <c r="E15" s="141"/>
    </row>
    <row r="16" spans="2:5">
      <c r="B16" s="139"/>
      <c r="C16" s="559"/>
      <c r="D16" s="559"/>
      <c r="E16" s="141"/>
    </row>
    <row r="17" spans="2:5">
      <c r="B17" s="139"/>
      <c r="C17" s="559"/>
      <c r="D17" s="559"/>
      <c r="E17" s="141"/>
    </row>
    <row r="18" spans="2:5">
      <c r="B18" s="139"/>
      <c r="C18" s="559"/>
      <c r="D18" s="559"/>
      <c r="E18" s="141"/>
    </row>
    <row r="19" spans="2:5">
      <c r="B19" s="139"/>
      <c r="C19" s="559"/>
      <c r="D19" s="559"/>
      <c r="E19" s="141"/>
    </row>
    <row r="20" spans="2:5">
      <c r="B20" s="139"/>
      <c r="C20" s="559"/>
      <c r="D20" s="559"/>
      <c r="E20" s="141"/>
    </row>
    <row r="21" spans="2:5">
      <c r="B21" s="139"/>
      <c r="C21" s="559"/>
      <c r="D21" s="559"/>
      <c r="E21" s="141"/>
    </row>
    <row r="22" spans="2:5">
      <c r="B22" s="139"/>
      <c r="C22" s="559"/>
      <c r="D22" s="559"/>
      <c r="E22" s="141"/>
    </row>
    <row r="23" spans="2:5">
      <c r="B23" s="139"/>
      <c r="C23" s="559"/>
      <c r="D23" s="559"/>
      <c r="E23" s="141"/>
    </row>
    <row r="24" spans="2:5">
      <c r="B24" s="139"/>
      <c r="C24" s="559"/>
      <c r="D24" s="559"/>
      <c r="E24" s="141"/>
    </row>
    <row r="25" spans="2:5">
      <c r="B25" s="139"/>
      <c r="C25" s="559"/>
      <c r="D25" s="559"/>
      <c r="E25" s="141"/>
    </row>
    <row r="26" spans="2:5">
      <c r="B26" s="139"/>
      <c r="C26" s="559"/>
      <c r="D26" s="559"/>
      <c r="E26" s="141"/>
    </row>
    <row r="27" spans="2:5">
      <c r="B27" s="139"/>
      <c r="C27" s="559"/>
      <c r="D27" s="559"/>
      <c r="E27" s="141"/>
    </row>
    <row r="28" spans="2:5">
      <c r="B28" s="139"/>
      <c r="C28" s="559"/>
      <c r="D28" s="559"/>
      <c r="E28" s="141"/>
    </row>
    <row r="29" spans="2:5">
      <c r="B29" s="139"/>
      <c r="C29" s="559"/>
      <c r="D29" s="559"/>
      <c r="E29" s="141"/>
    </row>
    <row r="30" spans="2:5">
      <c r="B30" s="139"/>
      <c r="C30" s="559"/>
      <c r="D30" s="559"/>
      <c r="E30" s="141"/>
    </row>
    <row r="31" spans="2:5">
      <c r="B31" s="139"/>
      <c r="C31" s="559"/>
      <c r="D31" s="559"/>
      <c r="E31" s="141"/>
    </row>
    <row r="32" spans="2:5">
      <c r="B32" s="139"/>
      <c r="C32" s="559"/>
      <c r="D32" s="559"/>
      <c r="E32" s="141"/>
    </row>
    <row r="33" spans="2:5">
      <c r="B33" s="139"/>
      <c r="C33" s="559"/>
      <c r="D33" s="559"/>
      <c r="E33" s="141"/>
    </row>
    <row r="34" spans="2:5">
      <c r="B34" s="139"/>
      <c r="C34" s="559"/>
      <c r="D34" s="559"/>
      <c r="E34" s="141"/>
    </row>
    <row r="35" spans="2:5">
      <c r="B35" s="139"/>
      <c r="C35" s="559"/>
      <c r="D35" s="559"/>
      <c r="E35" s="141"/>
    </row>
    <row r="36" spans="2:5">
      <c r="B36" s="139"/>
      <c r="C36" s="559"/>
      <c r="D36" s="559"/>
      <c r="E36" s="141"/>
    </row>
    <row r="37" spans="2:5">
      <c r="B37" s="139"/>
      <c r="C37" s="559"/>
      <c r="D37" s="559"/>
      <c r="E37" s="141"/>
    </row>
    <row r="38" spans="2:5">
      <c r="B38" s="139"/>
      <c r="C38" s="559"/>
      <c r="D38" s="559"/>
      <c r="E38" s="141"/>
    </row>
    <row r="39" spans="2:5">
      <c r="B39" s="139"/>
      <c r="C39" s="559"/>
      <c r="D39" s="559"/>
      <c r="E39" s="141"/>
    </row>
    <row r="40" spans="2:5">
      <c r="B40" s="139"/>
      <c r="C40" s="559"/>
      <c r="D40" s="559"/>
      <c r="E40" s="141"/>
    </row>
    <row r="41" spans="2:5" ht="16.5" thickBot="1">
      <c r="B41" s="142"/>
      <c r="C41" s="560"/>
      <c r="D41" s="560"/>
      <c r="E41" s="143"/>
    </row>
  </sheetData>
  <sheetProtection password="FFED" sheet="1" objects="1" scenarios="1" formatCells="0"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
  <sheetViews>
    <sheetView workbookViewId="0">
      <selection activeCell="B3" sqref="B3:K3"/>
    </sheetView>
  </sheetViews>
  <sheetFormatPr defaultRowHeight="15.75"/>
  <cols>
    <col min="1" max="1" width="2" style="1" customWidth="1"/>
    <col min="2" max="16384" width="9" style="1"/>
  </cols>
  <sheetData>
    <row r="1" spans="2:11" ht="16.5" thickBot="1"/>
    <row r="2" spans="2:11">
      <c r="B2" s="566" t="s">
        <v>161</v>
      </c>
      <c r="C2" s="567"/>
      <c r="D2" s="567"/>
      <c r="E2" s="567"/>
      <c r="F2" s="567"/>
      <c r="G2" s="567"/>
      <c r="H2" s="567"/>
      <c r="I2" s="567"/>
      <c r="J2" s="567"/>
      <c r="K2" s="568"/>
    </row>
    <row r="3" spans="2:11" ht="16.5" thickBot="1">
      <c r="B3" s="569" t="s">
        <v>503</v>
      </c>
      <c r="C3" s="570"/>
      <c r="D3" s="570"/>
      <c r="E3" s="570"/>
      <c r="F3" s="570"/>
      <c r="G3" s="570"/>
      <c r="H3" s="570"/>
      <c r="I3" s="570"/>
      <c r="J3" s="570"/>
      <c r="K3" s="571"/>
    </row>
    <row r="4" spans="2:11">
      <c r="B4" s="147" t="s">
        <v>162</v>
      </c>
      <c r="C4" s="145"/>
      <c r="D4" s="145"/>
      <c r="E4" s="145"/>
      <c r="F4" s="145"/>
      <c r="G4" s="145"/>
      <c r="H4" s="145"/>
      <c r="I4" s="145"/>
      <c r="J4" s="145"/>
      <c r="K4" s="145"/>
    </row>
    <row r="5" spans="2:11">
      <c r="B5" s="146" t="s">
        <v>163</v>
      </c>
      <c r="C5" s="145"/>
      <c r="D5" s="145"/>
      <c r="E5" s="145"/>
      <c r="F5" s="145"/>
      <c r="G5" s="145"/>
      <c r="H5" s="145"/>
      <c r="I5" s="145"/>
      <c r="J5" s="145"/>
      <c r="K5" s="145"/>
    </row>
    <row r="6" spans="2:11">
      <c r="B6" s="146" t="s">
        <v>164</v>
      </c>
      <c r="C6" s="145"/>
      <c r="D6" s="145"/>
      <c r="E6" s="145"/>
      <c r="F6" s="145"/>
      <c r="G6" s="145"/>
      <c r="H6" s="145"/>
      <c r="I6" s="145"/>
      <c r="J6" s="145"/>
      <c r="K6" s="145"/>
    </row>
    <row r="7" spans="2:11">
      <c r="B7" s="146" t="s">
        <v>493</v>
      </c>
      <c r="C7" s="145"/>
      <c r="D7" s="145"/>
      <c r="E7" s="145"/>
      <c r="F7" s="145"/>
      <c r="G7" s="145"/>
      <c r="H7" s="145"/>
      <c r="I7" s="145"/>
      <c r="J7" s="145"/>
      <c r="K7" s="145"/>
    </row>
    <row r="8" spans="2:11">
      <c r="B8" s="513" t="s">
        <v>492</v>
      </c>
    </row>
    <row r="9" spans="2:11">
      <c r="B9" s="514" t="s">
        <v>494</v>
      </c>
    </row>
    <row r="10" spans="2:11">
      <c r="B10" s="1" t="s">
        <v>495</v>
      </c>
    </row>
  </sheetData>
  <sheetProtection password="FFED" sheet="1" objects="1" scenarios="1" formatCells="0" formatColumns="0" formatRows="0"/>
  <mergeCells count="2">
    <mergeCell ref="B2:K2"/>
    <mergeCell ref="B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3"/>
  <sheetViews>
    <sheetView workbookViewId="0">
      <selection activeCell="B7" sqref="B7:K7"/>
    </sheetView>
  </sheetViews>
  <sheetFormatPr defaultRowHeight="15.75"/>
  <cols>
    <col min="1" max="1" width="2" style="1" customWidth="1"/>
    <col min="2" max="11" width="9" style="1"/>
    <col min="12" max="12" width="65.75" style="1" customWidth="1"/>
    <col min="13" max="16384" width="9" style="1"/>
  </cols>
  <sheetData>
    <row r="1" spans="2:12" ht="16.5" thickBot="1"/>
    <row r="2" spans="2:12">
      <c r="B2" s="149" t="s">
        <v>165</v>
      </c>
      <c r="C2" s="150"/>
      <c r="D2" s="150"/>
      <c r="E2" s="150"/>
      <c r="F2" s="150"/>
      <c r="G2" s="150"/>
      <c r="H2" s="150"/>
      <c r="I2" s="150"/>
      <c r="J2" s="150"/>
      <c r="K2" s="150"/>
      <c r="L2" s="150"/>
    </row>
    <row r="3" spans="2:12">
      <c r="B3" s="587" t="s">
        <v>166</v>
      </c>
      <c r="C3" s="587"/>
      <c r="D3" s="587"/>
      <c r="E3" s="587"/>
      <c r="F3" s="587"/>
      <c r="G3" s="587"/>
      <c r="H3" s="587"/>
      <c r="I3" s="587"/>
      <c r="J3" s="587"/>
      <c r="K3" s="148"/>
      <c r="L3" s="148"/>
    </row>
    <row r="4" spans="2:12">
      <c r="B4" s="587"/>
      <c r="C4" s="587"/>
      <c r="D4" s="587"/>
      <c r="E4" s="587"/>
      <c r="F4" s="587"/>
      <c r="G4" s="587"/>
      <c r="H4" s="587"/>
      <c r="I4" s="587"/>
      <c r="J4" s="587"/>
      <c r="K4" s="148"/>
      <c r="L4" s="148"/>
    </row>
    <row r="5" spans="2:12">
      <c r="B5" s="587"/>
      <c r="C5" s="587"/>
      <c r="D5" s="587"/>
      <c r="E5" s="587"/>
      <c r="F5" s="587"/>
      <c r="G5" s="587"/>
      <c r="H5" s="587"/>
      <c r="I5" s="587"/>
      <c r="J5" s="587"/>
      <c r="K5" s="148"/>
      <c r="L5" s="148"/>
    </row>
    <row r="6" spans="2:12">
      <c r="B6" s="153"/>
      <c r="C6" s="153"/>
      <c r="D6" s="153"/>
      <c r="E6" s="153"/>
      <c r="F6" s="153"/>
      <c r="G6" s="153"/>
      <c r="H6" s="153"/>
      <c r="I6" s="153"/>
      <c r="J6" s="153"/>
      <c r="K6" s="154"/>
      <c r="L6" s="154"/>
    </row>
    <row r="7" spans="2:12">
      <c r="B7" s="574" t="s">
        <v>167</v>
      </c>
      <c r="C7" s="575"/>
      <c r="D7" s="575"/>
      <c r="E7" s="575"/>
      <c r="F7" s="575"/>
      <c r="G7" s="575"/>
      <c r="H7" s="575"/>
      <c r="I7" s="575"/>
      <c r="J7" s="575"/>
      <c r="K7" s="576"/>
      <c r="L7" s="151" t="s">
        <v>168</v>
      </c>
    </row>
    <row r="8" spans="2:12">
      <c r="B8" s="577" t="s">
        <v>169</v>
      </c>
      <c r="C8" s="578"/>
      <c r="D8" s="578"/>
      <c r="E8" s="578"/>
      <c r="F8" s="578"/>
      <c r="G8" s="578"/>
      <c r="H8" s="578"/>
      <c r="I8" s="578"/>
      <c r="J8" s="578"/>
      <c r="K8" s="579"/>
      <c r="L8" s="156" t="s">
        <v>170</v>
      </c>
    </row>
    <row r="9" spans="2:12">
      <c r="B9" s="151" t="s">
        <v>171</v>
      </c>
      <c r="C9" s="588" t="s">
        <v>172</v>
      </c>
      <c r="D9" s="589"/>
      <c r="E9" s="589"/>
      <c r="F9" s="589"/>
      <c r="G9" s="589"/>
      <c r="H9" s="589"/>
      <c r="I9" s="589"/>
      <c r="J9" s="589"/>
      <c r="K9" s="151" t="s">
        <v>173</v>
      </c>
      <c r="L9" s="155" t="s">
        <v>174</v>
      </c>
    </row>
    <row r="10" spans="2:12">
      <c r="B10" s="580" t="s">
        <v>175</v>
      </c>
      <c r="C10" s="581" t="s">
        <v>176</v>
      </c>
      <c r="D10" s="582"/>
      <c r="E10" s="582"/>
      <c r="F10" s="582"/>
      <c r="G10" s="582"/>
      <c r="H10" s="582"/>
      <c r="I10" s="582"/>
      <c r="J10" s="583"/>
      <c r="K10" s="157"/>
      <c r="L10" s="158"/>
    </row>
    <row r="11" spans="2:12">
      <c r="B11" s="580"/>
      <c r="C11" s="581" t="s">
        <v>177</v>
      </c>
      <c r="D11" s="582"/>
      <c r="E11" s="582"/>
      <c r="F11" s="582"/>
      <c r="G11" s="582"/>
      <c r="H11" s="582"/>
      <c r="I11" s="582"/>
      <c r="J11" s="583"/>
      <c r="K11" s="157"/>
      <c r="L11" s="158"/>
    </row>
    <row r="12" spans="2:12">
      <c r="B12" s="580"/>
      <c r="C12" s="581" t="s">
        <v>178</v>
      </c>
      <c r="D12" s="582"/>
      <c r="E12" s="582"/>
      <c r="F12" s="582"/>
      <c r="G12" s="582"/>
      <c r="H12" s="582"/>
      <c r="I12" s="582"/>
      <c r="J12" s="583"/>
      <c r="K12" s="157"/>
      <c r="L12" s="158"/>
    </row>
    <row r="13" spans="2:12">
      <c r="B13" s="580"/>
      <c r="C13" s="581" t="s">
        <v>179</v>
      </c>
      <c r="D13" s="582"/>
      <c r="E13" s="582"/>
      <c r="F13" s="582"/>
      <c r="G13" s="582"/>
      <c r="H13" s="582"/>
      <c r="I13" s="582"/>
      <c r="J13" s="583"/>
      <c r="K13" s="572"/>
      <c r="L13" s="572"/>
    </row>
    <row r="14" spans="2:12">
      <c r="B14" s="580"/>
      <c r="C14" s="581"/>
      <c r="D14" s="582"/>
      <c r="E14" s="582"/>
      <c r="F14" s="582"/>
      <c r="G14" s="582"/>
      <c r="H14" s="582"/>
      <c r="I14" s="582"/>
      <c r="J14" s="583"/>
      <c r="K14" s="573"/>
      <c r="L14" s="573"/>
    </row>
    <row r="15" spans="2:12">
      <c r="B15" s="580"/>
      <c r="C15" s="581" t="s">
        <v>180</v>
      </c>
      <c r="D15" s="582"/>
      <c r="E15" s="582"/>
      <c r="F15" s="582"/>
      <c r="G15" s="582"/>
      <c r="H15" s="582"/>
      <c r="I15" s="582"/>
      <c r="J15" s="583"/>
      <c r="K15" s="157"/>
      <c r="L15" s="158"/>
    </row>
    <row r="16" spans="2:12">
      <c r="B16" s="580"/>
      <c r="C16" s="581" t="s">
        <v>181</v>
      </c>
      <c r="D16" s="582"/>
      <c r="E16" s="582"/>
      <c r="F16" s="582"/>
      <c r="G16" s="582"/>
      <c r="H16" s="582"/>
      <c r="I16" s="582"/>
      <c r="J16" s="583"/>
      <c r="K16" s="157"/>
      <c r="L16" s="158"/>
    </row>
    <row r="17" spans="2:12">
      <c r="B17" s="580"/>
      <c r="C17" s="581" t="s">
        <v>182</v>
      </c>
      <c r="D17" s="582"/>
      <c r="E17" s="582"/>
      <c r="F17" s="582"/>
      <c r="G17" s="582"/>
      <c r="H17" s="582"/>
      <c r="I17" s="582"/>
      <c r="J17" s="583"/>
      <c r="K17" s="157"/>
      <c r="L17" s="158"/>
    </row>
    <row r="18" spans="2:12">
      <c r="B18" s="580"/>
      <c r="C18" s="581" t="s">
        <v>183</v>
      </c>
      <c r="D18" s="582"/>
      <c r="E18" s="582"/>
      <c r="F18" s="582"/>
      <c r="G18" s="582"/>
      <c r="H18" s="582"/>
      <c r="I18" s="582"/>
      <c r="J18" s="583"/>
      <c r="K18" s="572"/>
      <c r="L18" s="572"/>
    </row>
    <row r="19" spans="2:12">
      <c r="B19" s="580"/>
      <c r="C19" s="581"/>
      <c r="D19" s="582"/>
      <c r="E19" s="582"/>
      <c r="F19" s="582"/>
      <c r="G19" s="582"/>
      <c r="H19" s="582"/>
      <c r="I19" s="582"/>
      <c r="J19" s="583"/>
      <c r="K19" s="573"/>
      <c r="L19" s="573"/>
    </row>
    <row r="20" spans="2:12">
      <c r="B20" s="580"/>
      <c r="C20" s="581" t="s">
        <v>184</v>
      </c>
      <c r="D20" s="582"/>
      <c r="E20" s="582"/>
      <c r="F20" s="582"/>
      <c r="G20" s="582"/>
      <c r="H20" s="582"/>
      <c r="I20" s="582"/>
      <c r="J20" s="583"/>
      <c r="K20" s="157"/>
      <c r="L20" s="158"/>
    </row>
    <row r="21" spans="2:12">
      <c r="B21" s="580"/>
      <c r="C21" s="581" t="s">
        <v>185</v>
      </c>
      <c r="D21" s="582"/>
      <c r="E21" s="582"/>
      <c r="F21" s="582"/>
      <c r="G21" s="582"/>
      <c r="H21" s="582"/>
      <c r="I21" s="582"/>
      <c r="J21" s="583"/>
      <c r="K21" s="157"/>
      <c r="L21" s="158"/>
    </row>
    <row r="22" spans="2:12">
      <c r="B22" s="580"/>
      <c r="C22" s="581" t="s">
        <v>186</v>
      </c>
      <c r="D22" s="582"/>
      <c r="E22" s="582"/>
      <c r="F22" s="582"/>
      <c r="G22" s="582"/>
      <c r="H22" s="582"/>
      <c r="I22" s="582"/>
      <c r="J22" s="583"/>
      <c r="K22" s="157"/>
      <c r="L22" s="158"/>
    </row>
    <row r="23" spans="2:12">
      <c r="B23" s="580"/>
      <c r="C23" s="581" t="s">
        <v>187</v>
      </c>
      <c r="D23" s="582"/>
      <c r="E23" s="582"/>
      <c r="F23" s="582"/>
      <c r="G23" s="582"/>
      <c r="H23" s="582"/>
      <c r="I23" s="582"/>
      <c r="J23" s="583"/>
      <c r="K23" s="157"/>
      <c r="L23" s="158"/>
    </row>
    <row r="24" spans="2:12">
      <c r="B24" s="580"/>
      <c r="C24" s="581" t="s">
        <v>188</v>
      </c>
      <c r="D24" s="582"/>
      <c r="E24" s="582"/>
      <c r="F24" s="582"/>
      <c r="G24" s="582"/>
      <c r="H24" s="582"/>
      <c r="I24" s="582"/>
      <c r="J24" s="583"/>
      <c r="K24" s="157"/>
      <c r="L24" s="158"/>
    </row>
    <row r="25" spans="2:12">
      <c r="B25" s="580" t="s">
        <v>189</v>
      </c>
      <c r="C25" s="584" t="s">
        <v>190</v>
      </c>
      <c r="D25" s="585"/>
      <c r="E25" s="585"/>
      <c r="F25" s="585"/>
      <c r="G25" s="585"/>
      <c r="H25" s="585"/>
      <c r="I25" s="585"/>
      <c r="J25" s="586"/>
      <c r="K25" s="157"/>
      <c r="L25" s="158"/>
    </row>
    <row r="26" spans="2:12">
      <c r="B26" s="580"/>
      <c r="C26" s="584" t="s">
        <v>191</v>
      </c>
      <c r="D26" s="585"/>
      <c r="E26" s="585"/>
      <c r="F26" s="585"/>
      <c r="G26" s="585"/>
      <c r="H26" s="585"/>
      <c r="I26" s="585"/>
      <c r="J26" s="586"/>
      <c r="K26" s="157"/>
      <c r="L26" s="158"/>
    </row>
    <row r="27" spans="2:12">
      <c r="B27" s="580"/>
      <c r="C27" s="584" t="s">
        <v>192</v>
      </c>
      <c r="D27" s="585"/>
      <c r="E27" s="585"/>
      <c r="F27" s="585"/>
      <c r="G27" s="585"/>
      <c r="H27" s="585"/>
      <c r="I27" s="585"/>
      <c r="J27" s="586"/>
      <c r="K27" s="157"/>
      <c r="L27" s="158"/>
    </row>
    <row r="28" spans="2:12">
      <c r="B28" s="580"/>
      <c r="C28" s="581" t="s">
        <v>193</v>
      </c>
      <c r="D28" s="582"/>
      <c r="E28" s="582"/>
      <c r="F28" s="582"/>
      <c r="G28" s="582"/>
      <c r="H28" s="582"/>
      <c r="I28" s="582"/>
      <c r="J28" s="583"/>
      <c r="K28" s="572"/>
      <c r="L28" s="572"/>
    </row>
    <row r="29" spans="2:12">
      <c r="B29" s="580"/>
      <c r="C29" s="581"/>
      <c r="D29" s="582"/>
      <c r="E29" s="582"/>
      <c r="F29" s="582"/>
      <c r="G29" s="582"/>
      <c r="H29" s="582"/>
      <c r="I29" s="582"/>
      <c r="J29" s="583"/>
      <c r="K29" s="573"/>
      <c r="L29" s="573"/>
    </row>
    <row r="30" spans="2:12">
      <c r="B30" s="580" t="s">
        <v>194</v>
      </c>
      <c r="C30" s="581" t="s">
        <v>195</v>
      </c>
      <c r="D30" s="582"/>
      <c r="E30" s="582"/>
      <c r="F30" s="582"/>
      <c r="G30" s="582"/>
      <c r="H30" s="582"/>
      <c r="I30" s="582"/>
      <c r="J30" s="583"/>
      <c r="K30" s="157"/>
      <c r="L30" s="158"/>
    </row>
    <row r="31" spans="2:12">
      <c r="B31" s="580"/>
      <c r="C31" s="581" t="s">
        <v>196</v>
      </c>
      <c r="D31" s="582"/>
      <c r="E31" s="582"/>
      <c r="F31" s="582"/>
      <c r="G31" s="582"/>
      <c r="H31" s="582"/>
      <c r="I31" s="582"/>
      <c r="J31" s="583"/>
      <c r="K31" s="157"/>
      <c r="L31" s="158"/>
    </row>
    <row r="32" spans="2:12">
      <c r="B32" s="580"/>
      <c r="C32" s="581" t="s">
        <v>197</v>
      </c>
      <c r="D32" s="582"/>
      <c r="E32" s="582"/>
      <c r="F32" s="582"/>
      <c r="G32" s="582"/>
      <c r="H32" s="582"/>
      <c r="I32" s="582"/>
      <c r="J32" s="583"/>
      <c r="K32" s="157"/>
      <c r="L32" s="158"/>
    </row>
    <row r="33" spans="2:12">
      <c r="B33" s="580"/>
      <c r="C33" s="581" t="s">
        <v>198</v>
      </c>
      <c r="D33" s="582"/>
      <c r="E33" s="582"/>
      <c r="F33" s="582"/>
      <c r="G33" s="582"/>
      <c r="H33" s="582"/>
      <c r="I33" s="582"/>
      <c r="J33" s="583"/>
      <c r="K33" s="157"/>
      <c r="L33" s="158"/>
    </row>
    <row r="34" spans="2:12">
      <c r="B34" s="580" t="s">
        <v>199</v>
      </c>
      <c r="C34" s="581" t="s">
        <v>200</v>
      </c>
      <c r="D34" s="582"/>
      <c r="E34" s="582"/>
      <c r="F34" s="582"/>
      <c r="G34" s="582"/>
      <c r="H34" s="582"/>
      <c r="I34" s="582"/>
      <c r="J34" s="583"/>
      <c r="K34" s="572"/>
      <c r="L34" s="572"/>
    </row>
    <row r="35" spans="2:12">
      <c r="B35" s="580"/>
      <c r="C35" s="581"/>
      <c r="D35" s="582"/>
      <c r="E35" s="582"/>
      <c r="F35" s="582"/>
      <c r="G35" s="582"/>
      <c r="H35" s="582"/>
      <c r="I35" s="582"/>
      <c r="J35" s="583"/>
      <c r="K35" s="573"/>
      <c r="L35" s="573"/>
    </row>
    <row r="36" spans="2:12">
      <c r="B36" s="580"/>
      <c r="C36" s="581" t="s">
        <v>201</v>
      </c>
      <c r="D36" s="582"/>
      <c r="E36" s="582"/>
      <c r="F36" s="582"/>
      <c r="G36" s="582"/>
      <c r="H36" s="582"/>
      <c r="I36" s="582"/>
      <c r="J36" s="583"/>
      <c r="K36" s="572"/>
      <c r="L36" s="572"/>
    </row>
    <row r="37" spans="2:12">
      <c r="B37" s="580"/>
      <c r="C37" s="581"/>
      <c r="D37" s="582"/>
      <c r="E37" s="582"/>
      <c r="F37" s="582"/>
      <c r="G37" s="582"/>
      <c r="H37" s="582"/>
      <c r="I37" s="582"/>
      <c r="J37" s="583"/>
      <c r="K37" s="573"/>
      <c r="L37" s="573"/>
    </row>
    <row r="38" spans="2:12">
      <c r="B38" s="580"/>
      <c r="C38" s="581" t="s">
        <v>202</v>
      </c>
      <c r="D38" s="582"/>
      <c r="E38" s="582"/>
      <c r="F38" s="582"/>
      <c r="G38" s="582"/>
      <c r="H38" s="582"/>
      <c r="I38" s="582"/>
      <c r="J38" s="583"/>
      <c r="K38" s="572"/>
      <c r="L38" s="572"/>
    </row>
    <row r="39" spans="2:12">
      <c r="B39" s="580"/>
      <c r="C39" s="581"/>
      <c r="D39" s="582"/>
      <c r="E39" s="582"/>
      <c r="F39" s="582"/>
      <c r="G39" s="582"/>
      <c r="H39" s="582"/>
      <c r="I39" s="582"/>
      <c r="J39" s="583"/>
      <c r="K39" s="573"/>
      <c r="L39" s="573"/>
    </row>
    <row r="40" spans="2:12">
      <c r="B40" s="580" t="s">
        <v>203</v>
      </c>
      <c r="C40" s="581" t="s">
        <v>204</v>
      </c>
      <c r="D40" s="582"/>
      <c r="E40" s="582"/>
      <c r="F40" s="582"/>
      <c r="G40" s="582"/>
      <c r="H40" s="582"/>
      <c r="I40" s="582"/>
      <c r="J40" s="583"/>
      <c r="K40" s="157"/>
      <c r="L40" s="158"/>
    </row>
    <row r="41" spans="2:12">
      <c r="B41" s="580"/>
      <c r="C41" s="581" t="s">
        <v>205</v>
      </c>
      <c r="D41" s="582"/>
      <c r="E41" s="582"/>
      <c r="F41" s="582"/>
      <c r="G41" s="582"/>
      <c r="H41" s="582"/>
      <c r="I41" s="582"/>
      <c r="J41" s="583"/>
      <c r="K41" s="157"/>
      <c r="L41" s="158"/>
    </row>
    <row r="42" spans="2:12">
      <c r="B42" s="580"/>
      <c r="C42" s="581" t="s">
        <v>206</v>
      </c>
      <c r="D42" s="582"/>
      <c r="E42" s="582"/>
      <c r="F42" s="582"/>
      <c r="G42" s="582"/>
      <c r="H42" s="582"/>
      <c r="I42" s="582"/>
      <c r="J42" s="583"/>
      <c r="K42" s="157"/>
      <c r="L42" s="158"/>
    </row>
    <row r="43" spans="2:12">
      <c r="B43" s="580"/>
      <c r="C43" s="581" t="s">
        <v>207</v>
      </c>
      <c r="D43" s="582"/>
      <c r="E43" s="582"/>
      <c r="F43" s="582"/>
      <c r="G43" s="582"/>
      <c r="H43" s="582"/>
      <c r="I43" s="582"/>
      <c r="J43" s="583"/>
      <c r="K43" s="157"/>
      <c r="L43" s="158"/>
    </row>
    <row r="44" spans="2:12">
      <c r="B44" s="580"/>
      <c r="C44" s="581" t="s">
        <v>208</v>
      </c>
      <c r="D44" s="582"/>
      <c r="E44" s="582"/>
      <c r="F44" s="582"/>
      <c r="G44" s="582"/>
      <c r="H44" s="582"/>
      <c r="I44" s="582"/>
      <c r="J44" s="583"/>
      <c r="K44" s="157"/>
      <c r="L44" s="158"/>
    </row>
    <row r="45" spans="2:12">
      <c r="B45" s="580"/>
      <c r="C45" s="581" t="s">
        <v>209</v>
      </c>
      <c r="D45" s="582"/>
      <c r="E45" s="582"/>
      <c r="F45" s="582"/>
      <c r="G45" s="582"/>
      <c r="H45" s="582"/>
      <c r="I45" s="582"/>
      <c r="J45" s="583"/>
      <c r="K45" s="157"/>
      <c r="L45" s="158"/>
    </row>
    <row r="46" spans="2:12">
      <c r="B46" s="580" t="s">
        <v>210</v>
      </c>
      <c r="C46" s="581" t="s">
        <v>211</v>
      </c>
      <c r="D46" s="582"/>
      <c r="E46" s="582"/>
      <c r="F46" s="582"/>
      <c r="G46" s="582"/>
      <c r="H46" s="582"/>
      <c r="I46" s="582"/>
      <c r="J46" s="583"/>
      <c r="K46" s="157"/>
      <c r="L46" s="158"/>
    </row>
    <row r="47" spans="2:12">
      <c r="B47" s="580"/>
      <c r="C47" s="581" t="s">
        <v>212</v>
      </c>
      <c r="D47" s="582"/>
      <c r="E47" s="582"/>
      <c r="F47" s="582"/>
      <c r="G47" s="582"/>
      <c r="H47" s="582"/>
      <c r="I47" s="582"/>
      <c r="J47" s="583"/>
      <c r="K47" s="157"/>
      <c r="L47" s="158"/>
    </row>
    <row r="48" spans="2:12">
      <c r="B48" s="580"/>
      <c r="C48" s="581" t="s">
        <v>213</v>
      </c>
      <c r="D48" s="582"/>
      <c r="E48" s="582"/>
      <c r="F48" s="582"/>
      <c r="G48" s="582"/>
      <c r="H48" s="582"/>
      <c r="I48" s="582"/>
      <c r="J48" s="583"/>
      <c r="K48" s="157"/>
      <c r="L48" s="158"/>
    </row>
    <row r="49" spans="2:12">
      <c r="B49" s="580"/>
      <c r="C49" s="581" t="s">
        <v>214</v>
      </c>
      <c r="D49" s="582"/>
      <c r="E49" s="582"/>
      <c r="F49" s="582"/>
      <c r="G49" s="582"/>
      <c r="H49" s="582"/>
      <c r="I49" s="582"/>
      <c r="J49" s="583"/>
      <c r="K49" s="572"/>
      <c r="L49" s="572"/>
    </row>
    <row r="50" spans="2:12">
      <c r="B50" s="580"/>
      <c r="C50" s="581"/>
      <c r="D50" s="582"/>
      <c r="E50" s="582"/>
      <c r="F50" s="582"/>
      <c r="G50" s="582"/>
      <c r="H50" s="582"/>
      <c r="I50" s="582"/>
      <c r="J50" s="583"/>
      <c r="K50" s="573"/>
      <c r="L50" s="573"/>
    </row>
    <row r="51" spans="2:12">
      <c r="B51" s="580" t="s">
        <v>215</v>
      </c>
      <c r="C51" s="581" t="s">
        <v>216</v>
      </c>
      <c r="D51" s="582"/>
      <c r="E51" s="582"/>
      <c r="F51" s="582"/>
      <c r="G51" s="582"/>
      <c r="H51" s="582"/>
      <c r="I51" s="582"/>
      <c r="J51" s="583"/>
      <c r="K51" s="157"/>
      <c r="L51" s="158"/>
    </row>
    <row r="52" spans="2:12">
      <c r="B52" s="580"/>
      <c r="C52" s="581" t="s">
        <v>217</v>
      </c>
      <c r="D52" s="582"/>
      <c r="E52" s="582"/>
      <c r="F52" s="582"/>
      <c r="G52" s="582"/>
      <c r="H52" s="582"/>
      <c r="I52" s="582"/>
      <c r="J52" s="583"/>
      <c r="K52" s="157"/>
      <c r="L52" s="158"/>
    </row>
    <row r="53" spans="2:12">
      <c r="B53" s="580" t="s">
        <v>218</v>
      </c>
      <c r="C53" s="581" t="s">
        <v>219</v>
      </c>
      <c r="D53" s="582"/>
      <c r="E53" s="582"/>
      <c r="F53" s="582"/>
      <c r="G53" s="582"/>
      <c r="H53" s="582"/>
      <c r="I53" s="582"/>
      <c r="J53" s="583"/>
      <c r="K53" s="572"/>
      <c r="L53" s="572"/>
    </row>
    <row r="54" spans="2:12">
      <c r="B54" s="580"/>
      <c r="C54" s="581"/>
      <c r="D54" s="582"/>
      <c r="E54" s="582"/>
      <c r="F54" s="582"/>
      <c r="G54" s="582"/>
      <c r="H54" s="582"/>
      <c r="I54" s="582"/>
      <c r="J54" s="583"/>
      <c r="K54" s="573"/>
      <c r="L54" s="573"/>
    </row>
    <row r="55" spans="2:12">
      <c r="B55" s="580" t="s">
        <v>220</v>
      </c>
      <c r="C55" s="581" t="s">
        <v>221</v>
      </c>
      <c r="D55" s="582"/>
      <c r="E55" s="582"/>
      <c r="F55" s="582"/>
      <c r="G55" s="582"/>
      <c r="H55" s="582"/>
      <c r="I55" s="582"/>
      <c r="J55" s="583"/>
      <c r="K55" s="572"/>
      <c r="L55" s="572"/>
    </row>
    <row r="56" spans="2:12">
      <c r="B56" s="580"/>
      <c r="C56" s="581"/>
      <c r="D56" s="582"/>
      <c r="E56" s="582"/>
      <c r="F56" s="582"/>
      <c r="G56" s="582"/>
      <c r="H56" s="582"/>
      <c r="I56" s="582"/>
      <c r="J56" s="583"/>
      <c r="K56" s="573"/>
      <c r="L56" s="573"/>
    </row>
    <row r="57" spans="2:12">
      <c r="B57" s="580" t="s">
        <v>222</v>
      </c>
      <c r="C57" s="581" t="s">
        <v>223</v>
      </c>
      <c r="D57" s="582"/>
      <c r="E57" s="582"/>
      <c r="F57" s="582"/>
      <c r="G57" s="582"/>
      <c r="H57" s="582"/>
      <c r="I57" s="582"/>
      <c r="J57" s="583"/>
      <c r="K57" s="157"/>
      <c r="L57" s="158"/>
    </row>
    <row r="58" spans="2:12">
      <c r="B58" s="580"/>
      <c r="C58" s="581" t="s">
        <v>224</v>
      </c>
      <c r="D58" s="582"/>
      <c r="E58" s="582"/>
      <c r="F58" s="582"/>
      <c r="G58" s="582"/>
      <c r="H58" s="582"/>
      <c r="I58" s="582"/>
      <c r="J58" s="583"/>
      <c r="K58" s="157"/>
      <c r="L58" s="158"/>
    </row>
    <row r="59" spans="2:12">
      <c r="B59" s="580"/>
      <c r="C59" s="581" t="s">
        <v>225</v>
      </c>
      <c r="D59" s="582"/>
      <c r="E59" s="582"/>
      <c r="F59" s="582"/>
      <c r="G59" s="582"/>
      <c r="H59" s="582"/>
      <c r="I59" s="582"/>
      <c r="J59" s="583"/>
      <c r="K59" s="157"/>
      <c r="L59" s="158"/>
    </row>
    <row r="60" spans="2:12">
      <c r="B60" s="580"/>
      <c r="C60" s="581" t="s">
        <v>226</v>
      </c>
      <c r="D60" s="582"/>
      <c r="E60" s="582"/>
      <c r="F60" s="582"/>
      <c r="G60" s="582"/>
      <c r="H60" s="582"/>
      <c r="I60" s="582"/>
      <c r="J60" s="583"/>
      <c r="K60" s="157"/>
      <c r="L60" s="158"/>
    </row>
    <row r="61" spans="2:12">
      <c r="B61" s="580"/>
      <c r="C61" s="581" t="s">
        <v>227</v>
      </c>
      <c r="D61" s="582"/>
      <c r="E61" s="582"/>
      <c r="F61" s="582"/>
      <c r="G61" s="582"/>
      <c r="H61" s="582"/>
      <c r="I61" s="582"/>
      <c r="J61" s="583"/>
      <c r="K61" s="157"/>
      <c r="L61" s="158"/>
    </row>
    <row r="62" spans="2:12">
      <c r="B62" s="580"/>
      <c r="C62" s="581" t="s">
        <v>228</v>
      </c>
      <c r="D62" s="582"/>
      <c r="E62" s="582"/>
      <c r="F62" s="582"/>
      <c r="G62" s="582"/>
      <c r="H62" s="582"/>
      <c r="I62" s="582"/>
      <c r="J62" s="583"/>
      <c r="K62" s="157"/>
      <c r="L62" s="158"/>
    </row>
    <row r="63" spans="2:12" ht="16.5" thickBot="1">
      <c r="B63" s="152"/>
      <c r="C63" s="152"/>
      <c r="D63" s="152"/>
      <c r="E63" s="152"/>
      <c r="F63" s="152"/>
      <c r="G63" s="152"/>
      <c r="H63" s="152"/>
      <c r="I63" s="152"/>
      <c r="J63" s="152"/>
      <c r="K63" s="152"/>
      <c r="L63" s="152"/>
    </row>
  </sheetData>
  <sheetProtection password="FFED" sheet="1" objects="1" scenarios="1" formatCells="0" formatColumns="0" formatRows="0"/>
  <mergeCells count="76">
    <mergeCell ref="C13:J14"/>
    <mergeCell ref="K13:K14"/>
    <mergeCell ref="C15:J15"/>
    <mergeCell ref="C16:J16"/>
    <mergeCell ref="B3:J5"/>
    <mergeCell ref="C9:J9"/>
    <mergeCell ref="B10:B24"/>
    <mergeCell ref="C10:J10"/>
    <mergeCell ref="C11:J11"/>
    <mergeCell ref="C12:J12"/>
    <mergeCell ref="C21:J21"/>
    <mergeCell ref="C22:J22"/>
    <mergeCell ref="C23:J23"/>
    <mergeCell ref="C17:J17"/>
    <mergeCell ref="C18:J19"/>
    <mergeCell ref="K18:K19"/>
    <mergeCell ref="C20:J20"/>
    <mergeCell ref="C24:J24"/>
    <mergeCell ref="B25:B29"/>
    <mergeCell ref="C25:J25"/>
    <mergeCell ref="C26:J26"/>
    <mergeCell ref="C27:J27"/>
    <mergeCell ref="C28:J29"/>
    <mergeCell ref="K53:K54"/>
    <mergeCell ref="K28:K29"/>
    <mergeCell ref="B30:B33"/>
    <mergeCell ref="C30:J30"/>
    <mergeCell ref="C31:J31"/>
    <mergeCell ref="C32:J32"/>
    <mergeCell ref="C33:J33"/>
    <mergeCell ref="B34:B39"/>
    <mergeCell ref="C34:J35"/>
    <mergeCell ref="K34:K35"/>
    <mergeCell ref="C36:J37"/>
    <mergeCell ref="K36:K37"/>
    <mergeCell ref="C38:J39"/>
    <mergeCell ref="K38:K39"/>
    <mergeCell ref="L53:L54"/>
    <mergeCell ref="B40:B45"/>
    <mergeCell ref="C40:J40"/>
    <mergeCell ref="C41:J41"/>
    <mergeCell ref="C42:J42"/>
    <mergeCell ref="C43:J43"/>
    <mergeCell ref="C44:J44"/>
    <mergeCell ref="C45:J45"/>
    <mergeCell ref="C51:J51"/>
    <mergeCell ref="C52:J52"/>
    <mergeCell ref="B46:B50"/>
    <mergeCell ref="C46:J46"/>
    <mergeCell ref="C47:J47"/>
    <mergeCell ref="C48:J48"/>
    <mergeCell ref="B53:B54"/>
    <mergeCell ref="C53:J54"/>
    <mergeCell ref="C62:J62"/>
    <mergeCell ref="B57:B62"/>
    <mergeCell ref="C57:J57"/>
    <mergeCell ref="C58:J58"/>
    <mergeCell ref="C59:J59"/>
    <mergeCell ref="C60:J60"/>
    <mergeCell ref="C61:J61"/>
    <mergeCell ref="L55:L56"/>
    <mergeCell ref="B7:K7"/>
    <mergeCell ref="B8:K8"/>
    <mergeCell ref="K49:K50"/>
    <mergeCell ref="L49:L50"/>
    <mergeCell ref="L18:L19"/>
    <mergeCell ref="L13:L14"/>
    <mergeCell ref="L28:L29"/>
    <mergeCell ref="L34:L35"/>
    <mergeCell ref="L36:L37"/>
    <mergeCell ref="L38:L39"/>
    <mergeCell ref="B55:B56"/>
    <mergeCell ref="C55:J56"/>
    <mergeCell ref="K55:K56"/>
    <mergeCell ref="C49:J50"/>
    <mergeCell ref="B51:B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7"/>
  <sheetViews>
    <sheetView showGridLines="0" workbookViewId="0">
      <selection activeCell="E17" sqref="E17"/>
    </sheetView>
  </sheetViews>
  <sheetFormatPr defaultRowHeight="15.75"/>
  <cols>
    <col min="1" max="1" width="2" style="1" customWidth="1"/>
    <col min="2" max="2" width="5.25" style="1" customWidth="1"/>
    <col min="3" max="3" width="11.375" style="1" customWidth="1"/>
    <col min="4" max="4" width="7.125" style="1" customWidth="1"/>
    <col min="5" max="5" width="12.5" style="1" customWidth="1"/>
    <col min="6" max="6" width="20.625" style="1" customWidth="1"/>
    <col min="7" max="9" width="9" style="1"/>
    <col min="10" max="10" width="12.5" style="1" customWidth="1"/>
    <col min="11" max="11" width="20.625" style="1" customWidth="1"/>
    <col min="12" max="16384" width="9" style="1"/>
  </cols>
  <sheetData>
    <row r="2" spans="2:11">
      <c r="B2" s="590" t="s">
        <v>229</v>
      </c>
      <c r="C2" s="591"/>
      <c r="D2" s="591"/>
      <c r="E2" s="591"/>
      <c r="F2" s="591"/>
      <c r="J2" s="595" t="s">
        <v>506</v>
      </c>
      <c r="K2" s="595"/>
    </row>
    <row r="3" spans="2:11">
      <c r="B3" s="169"/>
      <c r="C3" s="169"/>
      <c r="D3" s="169"/>
      <c r="E3" s="592" t="s">
        <v>230</v>
      </c>
      <c r="F3" s="593" t="s">
        <v>231</v>
      </c>
      <c r="J3" s="592" t="s">
        <v>230</v>
      </c>
      <c r="K3" s="593" t="s">
        <v>231</v>
      </c>
    </row>
    <row r="4" spans="2:11">
      <c r="B4" s="170" t="s">
        <v>232</v>
      </c>
      <c r="C4" s="170" t="s">
        <v>233</v>
      </c>
      <c r="D4" s="170" t="s">
        <v>234</v>
      </c>
      <c r="E4" s="592"/>
      <c r="F4" s="594"/>
      <c r="J4" s="592"/>
      <c r="K4" s="594"/>
    </row>
    <row r="5" spans="2:11">
      <c r="B5" s="163"/>
      <c r="C5" s="163"/>
      <c r="D5" s="163"/>
      <c r="E5" s="171"/>
      <c r="F5" s="171" t="s">
        <v>235</v>
      </c>
      <c r="J5" s="171"/>
      <c r="K5" s="171" t="s">
        <v>235</v>
      </c>
    </row>
    <row r="6" spans="2:11">
      <c r="B6" s="169" t="s">
        <v>26</v>
      </c>
      <c r="C6" s="164" t="s">
        <v>236</v>
      </c>
      <c r="D6" s="165">
        <v>1</v>
      </c>
      <c r="E6" s="172" t="s">
        <v>44</v>
      </c>
      <c r="F6" s="171" t="s">
        <v>97</v>
      </c>
      <c r="J6" s="166" t="s">
        <v>237</v>
      </c>
      <c r="K6" s="167" t="s">
        <v>238</v>
      </c>
    </row>
    <row r="7" spans="2:11">
      <c r="B7" s="172" t="s">
        <v>27</v>
      </c>
      <c r="C7" s="164" t="s">
        <v>239</v>
      </c>
      <c r="D7" s="165">
        <v>2</v>
      </c>
      <c r="E7" s="172" t="s">
        <v>256</v>
      </c>
      <c r="F7" s="171" t="s">
        <v>257</v>
      </c>
      <c r="J7" s="548" t="s">
        <v>240</v>
      </c>
      <c r="K7" s="171" t="s">
        <v>241</v>
      </c>
    </row>
    <row r="8" spans="2:11">
      <c r="B8" s="171"/>
      <c r="C8" s="164" t="s">
        <v>242</v>
      </c>
      <c r="D8" s="165">
        <v>3</v>
      </c>
      <c r="E8" s="172" t="s">
        <v>39</v>
      </c>
      <c r="F8" s="171" t="s">
        <v>263</v>
      </c>
      <c r="J8" s="548" t="s">
        <v>44</v>
      </c>
      <c r="K8" s="171" t="s">
        <v>97</v>
      </c>
    </row>
    <row r="9" spans="2:11">
      <c r="B9" s="171"/>
      <c r="C9" s="164" t="s">
        <v>243</v>
      </c>
      <c r="D9" s="165">
        <v>2.58</v>
      </c>
      <c r="E9" s="172" t="s">
        <v>12</v>
      </c>
      <c r="F9" s="171" t="s">
        <v>499</v>
      </c>
      <c r="J9" s="548" t="s">
        <v>244</v>
      </c>
      <c r="K9" s="171" t="s">
        <v>245</v>
      </c>
    </row>
    <row r="10" spans="2:11">
      <c r="B10" s="171"/>
      <c r="C10" s="164" t="s">
        <v>52</v>
      </c>
      <c r="D10" s="165">
        <v>1.7320508075688772</v>
      </c>
      <c r="E10" s="166" t="s">
        <v>149</v>
      </c>
      <c r="F10" s="168" t="s">
        <v>337</v>
      </c>
      <c r="J10" s="548" t="s">
        <v>246</v>
      </c>
      <c r="K10" s="171" t="s">
        <v>502</v>
      </c>
    </row>
    <row r="11" spans="2:11">
      <c r="B11" s="171"/>
      <c r="C11" s="164" t="s">
        <v>247</v>
      </c>
      <c r="D11" s="165">
        <v>2.4494897427831779</v>
      </c>
      <c r="E11" s="509" t="s">
        <v>86</v>
      </c>
      <c r="F11" s="171" t="s">
        <v>500</v>
      </c>
      <c r="J11" s="548" t="s">
        <v>248</v>
      </c>
      <c r="K11" s="171" t="s">
        <v>249</v>
      </c>
    </row>
    <row r="12" spans="2:11">
      <c r="B12" s="171"/>
      <c r="C12" s="164" t="s">
        <v>250</v>
      </c>
      <c r="D12" s="165">
        <v>1.4142135623730951</v>
      </c>
      <c r="E12" s="509" t="s">
        <v>9</v>
      </c>
      <c r="F12" s="171" t="s">
        <v>489</v>
      </c>
      <c r="J12" s="166" t="s">
        <v>251</v>
      </c>
      <c r="K12" s="171" t="s">
        <v>252</v>
      </c>
    </row>
    <row r="13" spans="2:11">
      <c r="B13" s="171"/>
      <c r="C13" s="164" t="s">
        <v>253</v>
      </c>
      <c r="D13" s="165">
        <v>3.4641016151377544</v>
      </c>
      <c r="E13" s="509" t="s">
        <v>15</v>
      </c>
      <c r="F13" s="510" t="s">
        <v>501</v>
      </c>
      <c r="J13" s="166" t="s">
        <v>254</v>
      </c>
      <c r="K13" s="171" t="s">
        <v>255</v>
      </c>
    </row>
    <row r="14" spans="2:11">
      <c r="B14" s="171"/>
      <c r="C14" s="171"/>
      <c r="D14" s="171"/>
      <c r="E14" s="166" t="s">
        <v>150</v>
      </c>
      <c r="F14" s="168" t="s">
        <v>490</v>
      </c>
      <c r="J14" s="548" t="s">
        <v>256</v>
      </c>
      <c r="K14" s="171" t="s">
        <v>257</v>
      </c>
    </row>
    <row r="15" spans="2:11">
      <c r="B15" s="171"/>
      <c r="C15" s="171"/>
      <c r="D15" s="171"/>
      <c r="E15" s="166"/>
      <c r="F15" s="171"/>
      <c r="J15" s="166" t="s">
        <v>258</v>
      </c>
      <c r="K15" s="171" t="s">
        <v>259</v>
      </c>
    </row>
    <row r="16" spans="2:11">
      <c r="B16" s="171"/>
      <c r="C16" s="171"/>
      <c r="D16" s="171"/>
      <c r="E16" s="166"/>
      <c r="F16" s="171"/>
      <c r="J16" s="166" t="s">
        <v>260</v>
      </c>
      <c r="K16" s="171" t="s">
        <v>261</v>
      </c>
    </row>
    <row r="17" spans="2:11">
      <c r="B17" s="171"/>
      <c r="C17" s="171"/>
      <c r="D17" s="171"/>
      <c r="E17" s="172"/>
      <c r="F17" s="171"/>
      <c r="J17" s="548" t="s">
        <v>140</v>
      </c>
      <c r="K17" s="171" t="s">
        <v>262</v>
      </c>
    </row>
    <row r="18" spans="2:11">
      <c r="B18" s="171"/>
      <c r="C18" s="171"/>
      <c r="D18" s="171"/>
      <c r="J18" s="548" t="s">
        <v>39</v>
      </c>
      <c r="K18" s="171" t="s">
        <v>263</v>
      </c>
    </row>
    <row r="19" spans="2:11">
      <c r="B19" s="171"/>
      <c r="C19" s="171"/>
      <c r="D19" s="171"/>
      <c r="E19" s="166"/>
      <c r="F19" s="171"/>
      <c r="J19" s="166" t="s">
        <v>264</v>
      </c>
      <c r="K19" s="171" t="s">
        <v>265</v>
      </c>
    </row>
    <row r="20" spans="2:11">
      <c r="B20" s="171"/>
      <c r="C20" s="171"/>
      <c r="D20" s="171"/>
      <c r="E20" s="166"/>
      <c r="F20" s="171"/>
      <c r="J20" s="166" t="s">
        <v>266</v>
      </c>
      <c r="K20" s="171" t="s">
        <v>267</v>
      </c>
    </row>
    <row r="21" spans="2:11">
      <c r="B21" s="171"/>
      <c r="C21" s="171"/>
      <c r="D21" s="171"/>
      <c r="J21" s="548" t="s">
        <v>268</v>
      </c>
      <c r="K21" s="171" t="s">
        <v>269</v>
      </c>
    </row>
    <row r="22" spans="2:11">
      <c r="B22" s="171"/>
      <c r="C22" s="171"/>
      <c r="D22" s="171"/>
      <c r="E22" s="172"/>
      <c r="F22" s="171"/>
      <c r="J22" s="548" t="s">
        <v>270</v>
      </c>
      <c r="K22" s="171" t="s">
        <v>271</v>
      </c>
    </row>
    <row r="23" spans="2:11">
      <c r="B23" s="171"/>
      <c r="C23" s="171"/>
      <c r="D23" s="171"/>
      <c r="E23" s="166"/>
      <c r="F23" s="171"/>
      <c r="J23" s="166" t="s">
        <v>272</v>
      </c>
      <c r="K23" s="171" t="s">
        <v>273</v>
      </c>
    </row>
    <row r="24" spans="2:11">
      <c r="B24" s="171"/>
      <c r="C24" s="171"/>
      <c r="D24" s="171"/>
      <c r="E24" s="166"/>
      <c r="F24" s="171"/>
      <c r="J24" s="166" t="s">
        <v>274</v>
      </c>
      <c r="K24" s="171" t="s">
        <v>275</v>
      </c>
    </row>
    <row r="25" spans="2:11">
      <c r="B25" s="171"/>
      <c r="C25" s="171"/>
      <c r="D25" s="171"/>
      <c r="E25" s="172"/>
      <c r="F25" s="171"/>
      <c r="J25" s="548" t="s">
        <v>276</v>
      </c>
      <c r="K25" s="171" t="s">
        <v>277</v>
      </c>
    </row>
    <row r="26" spans="2:11">
      <c r="B26" s="171"/>
      <c r="C26" s="171"/>
      <c r="D26" s="171"/>
      <c r="E26" s="166"/>
      <c r="F26" s="171"/>
      <c r="J26" s="166" t="s">
        <v>278</v>
      </c>
      <c r="K26" s="171" t="s">
        <v>279</v>
      </c>
    </row>
    <row r="27" spans="2:11">
      <c r="B27" s="171"/>
      <c r="C27" s="171"/>
      <c r="D27" s="171"/>
      <c r="E27" s="166"/>
      <c r="F27" s="171"/>
      <c r="J27" s="166" t="s">
        <v>280</v>
      </c>
      <c r="K27" s="171" t="s">
        <v>281</v>
      </c>
    </row>
    <row r="28" spans="2:11">
      <c r="B28" s="171"/>
      <c r="C28" s="171"/>
      <c r="D28" s="171"/>
      <c r="E28" s="172"/>
      <c r="F28" s="171"/>
      <c r="J28" s="548" t="s">
        <v>282</v>
      </c>
      <c r="K28" s="171" t="s">
        <v>283</v>
      </c>
    </row>
    <row r="29" spans="2:11">
      <c r="B29" s="171"/>
      <c r="C29" s="171"/>
      <c r="D29" s="171"/>
      <c r="J29" s="548" t="s">
        <v>12</v>
      </c>
      <c r="K29" s="171" t="s">
        <v>499</v>
      </c>
    </row>
    <row r="30" spans="2:11">
      <c r="B30" s="171"/>
      <c r="C30" s="171"/>
      <c r="D30" s="171"/>
      <c r="E30" s="166"/>
      <c r="F30" s="171"/>
      <c r="J30" s="166" t="s">
        <v>284</v>
      </c>
      <c r="K30" s="171" t="s">
        <v>285</v>
      </c>
    </row>
    <row r="31" spans="2:11">
      <c r="B31" s="171"/>
      <c r="C31" s="171"/>
      <c r="D31" s="171"/>
      <c r="E31" s="166"/>
      <c r="F31" s="171"/>
      <c r="J31" s="166" t="s">
        <v>286</v>
      </c>
      <c r="K31" s="171" t="s">
        <v>287</v>
      </c>
    </row>
    <row r="32" spans="2:11">
      <c r="B32" s="171"/>
      <c r="C32" s="171"/>
      <c r="D32" s="171"/>
      <c r="J32" s="166" t="s">
        <v>288</v>
      </c>
      <c r="K32" s="171" t="s">
        <v>289</v>
      </c>
    </row>
    <row r="33" spans="2:11">
      <c r="B33" s="171"/>
      <c r="C33" s="171"/>
      <c r="D33" s="171"/>
      <c r="J33" s="166" t="s">
        <v>290</v>
      </c>
      <c r="K33" s="171" t="s">
        <v>291</v>
      </c>
    </row>
    <row r="34" spans="2:11">
      <c r="B34" s="171"/>
      <c r="C34" s="171"/>
      <c r="D34" s="171"/>
      <c r="J34" s="166" t="s">
        <v>10</v>
      </c>
      <c r="K34" s="171" t="s">
        <v>292</v>
      </c>
    </row>
    <row r="35" spans="2:11">
      <c r="B35" s="171"/>
      <c r="C35" s="171"/>
      <c r="D35" s="171"/>
      <c r="J35" s="166" t="s">
        <v>293</v>
      </c>
      <c r="K35" s="171" t="s">
        <v>294</v>
      </c>
    </row>
    <row r="36" spans="2:11">
      <c r="B36" s="171"/>
      <c r="C36" s="171"/>
      <c r="D36" s="171"/>
      <c r="E36" s="166"/>
      <c r="F36" s="171"/>
      <c r="J36" s="166" t="s">
        <v>295</v>
      </c>
      <c r="K36" s="171" t="s">
        <v>296</v>
      </c>
    </row>
    <row r="37" spans="2:11">
      <c r="B37" s="171"/>
      <c r="C37" s="171"/>
      <c r="D37" s="171"/>
      <c r="E37" s="166"/>
      <c r="F37" s="171"/>
      <c r="J37" s="166" t="s">
        <v>297</v>
      </c>
      <c r="K37" s="171" t="s">
        <v>298</v>
      </c>
    </row>
    <row r="38" spans="2:11">
      <c r="B38" s="171"/>
      <c r="C38" s="171"/>
      <c r="D38" s="171"/>
      <c r="J38" s="166" t="s">
        <v>299</v>
      </c>
      <c r="K38" s="171" t="s">
        <v>300</v>
      </c>
    </row>
    <row r="39" spans="2:11">
      <c r="B39" s="171"/>
      <c r="C39" s="171"/>
      <c r="D39" s="171"/>
      <c r="E39" s="166"/>
      <c r="F39" s="171"/>
      <c r="J39" s="166" t="s">
        <v>26</v>
      </c>
      <c r="K39" s="171" t="s">
        <v>301</v>
      </c>
    </row>
    <row r="40" spans="2:11">
      <c r="B40" s="171"/>
      <c r="C40" s="171"/>
      <c r="D40" s="171"/>
      <c r="E40" s="166"/>
      <c r="F40" s="171"/>
      <c r="J40" s="166" t="s">
        <v>23</v>
      </c>
      <c r="K40" s="171" t="s">
        <v>302</v>
      </c>
    </row>
    <row r="41" spans="2:11">
      <c r="B41" s="171"/>
      <c r="C41" s="171"/>
      <c r="D41" s="171"/>
      <c r="E41" s="166"/>
      <c r="F41" s="171"/>
      <c r="J41" s="166" t="s">
        <v>303</v>
      </c>
      <c r="K41" s="171" t="s">
        <v>304</v>
      </c>
    </row>
    <row r="42" spans="2:11">
      <c r="B42" s="171"/>
      <c r="C42" s="171"/>
      <c r="D42" s="171"/>
      <c r="E42" s="166"/>
      <c r="F42" s="171"/>
      <c r="J42" s="166" t="s">
        <v>305</v>
      </c>
      <c r="K42" s="171" t="s">
        <v>306</v>
      </c>
    </row>
    <row r="43" spans="2:11">
      <c r="B43" s="171"/>
      <c r="C43" s="171"/>
      <c r="D43" s="171"/>
      <c r="E43" s="166"/>
      <c r="F43" s="171"/>
      <c r="J43" s="166" t="s">
        <v>307</v>
      </c>
      <c r="K43" s="171" t="s">
        <v>308</v>
      </c>
    </row>
    <row r="44" spans="2:11">
      <c r="B44" s="171"/>
      <c r="C44" s="171"/>
      <c r="D44" s="171"/>
      <c r="E44" s="166"/>
      <c r="F44" s="171"/>
      <c r="J44" s="166" t="s">
        <v>309</v>
      </c>
      <c r="K44" s="171" t="s">
        <v>310</v>
      </c>
    </row>
    <row r="45" spans="2:11">
      <c r="B45" s="171"/>
      <c r="C45" s="171"/>
      <c r="D45" s="171"/>
      <c r="E45" s="166"/>
      <c r="F45" s="171"/>
      <c r="J45" s="166" t="s">
        <v>311</v>
      </c>
      <c r="K45" s="171" t="s">
        <v>312</v>
      </c>
    </row>
    <row r="46" spans="2:11">
      <c r="B46" s="171"/>
      <c r="C46" s="171"/>
      <c r="D46" s="171"/>
      <c r="E46" s="166"/>
      <c r="F46" s="171"/>
      <c r="J46" s="166" t="s">
        <v>313</v>
      </c>
      <c r="K46" s="171" t="s">
        <v>314</v>
      </c>
    </row>
    <row r="47" spans="2:11">
      <c r="B47" s="171"/>
      <c r="C47" s="171"/>
      <c r="D47" s="171"/>
      <c r="E47" s="166"/>
      <c r="F47" s="171"/>
      <c r="J47" s="166" t="s">
        <v>315</v>
      </c>
      <c r="K47" s="171" t="s">
        <v>316</v>
      </c>
    </row>
    <row r="48" spans="2:11">
      <c r="B48" s="171"/>
      <c r="C48" s="171"/>
      <c r="D48" s="171"/>
      <c r="E48" s="166"/>
      <c r="F48" s="171"/>
      <c r="J48" s="166" t="s">
        <v>317</v>
      </c>
      <c r="K48" s="171" t="s">
        <v>318</v>
      </c>
    </row>
    <row r="49" spans="5:11">
      <c r="E49" s="166"/>
      <c r="F49" s="171"/>
      <c r="J49" s="166" t="s">
        <v>319</v>
      </c>
      <c r="K49" s="171" t="s">
        <v>320</v>
      </c>
    </row>
    <row r="50" spans="5:11">
      <c r="J50" s="166" t="s">
        <v>321</v>
      </c>
      <c r="K50" s="171" t="s">
        <v>322</v>
      </c>
    </row>
    <row r="51" spans="5:11">
      <c r="J51" s="166" t="s">
        <v>323</v>
      </c>
      <c r="K51" s="171" t="s">
        <v>324</v>
      </c>
    </row>
    <row r="52" spans="5:11">
      <c r="J52" s="166" t="s">
        <v>325</v>
      </c>
      <c r="K52" s="171" t="s">
        <v>326</v>
      </c>
    </row>
    <row r="53" spans="5:11">
      <c r="J53" s="166" t="s">
        <v>327</v>
      </c>
      <c r="K53" s="171" t="s">
        <v>328</v>
      </c>
    </row>
    <row r="54" spans="5:11">
      <c r="E54" s="166"/>
      <c r="F54" s="171"/>
      <c r="J54" s="166" t="s">
        <v>329</v>
      </c>
      <c r="K54" s="171" t="s">
        <v>330</v>
      </c>
    </row>
    <row r="55" spans="5:11">
      <c r="E55" s="166"/>
      <c r="F55" s="171"/>
      <c r="J55" s="166" t="s">
        <v>331</v>
      </c>
      <c r="K55" s="171" t="s">
        <v>332</v>
      </c>
    </row>
    <row r="56" spans="5:11">
      <c r="E56" s="166"/>
      <c r="F56" s="171"/>
      <c r="J56" s="166" t="s">
        <v>333</v>
      </c>
      <c r="K56" s="171" t="s">
        <v>334</v>
      </c>
    </row>
    <row r="57" spans="5:11">
      <c r="E57" s="166"/>
      <c r="F57" s="171"/>
      <c r="J57" s="166" t="s">
        <v>335</v>
      </c>
      <c r="K57" s="171" t="s">
        <v>336</v>
      </c>
    </row>
    <row r="58" spans="5:11">
      <c r="J58" s="166" t="s">
        <v>149</v>
      </c>
      <c r="K58" s="168" t="s">
        <v>337</v>
      </c>
    </row>
    <row r="59" spans="5:11">
      <c r="E59" s="166"/>
      <c r="F59" s="168"/>
      <c r="J59" s="166" t="s">
        <v>338</v>
      </c>
      <c r="K59" s="168" t="s">
        <v>339</v>
      </c>
    </row>
    <row r="60" spans="5:11">
      <c r="E60" s="166"/>
      <c r="F60" s="171"/>
      <c r="J60" s="166" t="s">
        <v>340</v>
      </c>
      <c r="K60" s="171" t="s">
        <v>341</v>
      </c>
    </row>
    <row r="61" spans="5:11">
      <c r="E61" s="166"/>
      <c r="F61" s="168"/>
      <c r="J61" s="166" t="s">
        <v>342</v>
      </c>
      <c r="K61" s="168" t="s">
        <v>343</v>
      </c>
    </row>
    <row r="62" spans="5:11">
      <c r="E62" s="166"/>
      <c r="F62" s="171"/>
      <c r="J62" s="166" t="s">
        <v>344</v>
      </c>
      <c r="K62" s="171" t="s">
        <v>345</v>
      </c>
    </row>
    <row r="63" spans="5:11">
      <c r="E63" s="166"/>
      <c r="F63" s="168"/>
      <c r="J63" s="166" t="s">
        <v>346</v>
      </c>
      <c r="K63" s="168" t="s">
        <v>347</v>
      </c>
    </row>
    <row r="64" spans="5:11">
      <c r="J64" s="509" t="s">
        <v>86</v>
      </c>
      <c r="K64" s="171" t="s">
        <v>500</v>
      </c>
    </row>
    <row r="65" spans="10:11">
      <c r="J65" s="509" t="s">
        <v>9</v>
      </c>
      <c r="K65" s="171" t="s">
        <v>489</v>
      </c>
    </row>
    <row r="66" spans="10:11">
      <c r="J66" s="509" t="s">
        <v>15</v>
      </c>
      <c r="K66" s="510" t="s">
        <v>501</v>
      </c>
    </row>
    <row r="67" spans="10:11">
      <c r="J67" s="166" t="s">
        <v>150</v>
      </c>
      <c r="K67" s="168" t="s">
        <v>490</v>
      </c>
    </row>
  </sheetData>
  <sheetProtection password="FFED" sheet="1" objects="1" scenarios="1" formatCells="0" formatColumns="0" formatRows="0"/>
  <mergeCells count="6">
    <mergeCell ref="B2:F2"/>
    <mergeCell ref="E3:E4"/>
    <mergeCell ref="F3:F4"/>
    <mergeCell ref="J2:K2"/>
    <mergeCell ref="J3:J4"/>
    <mergeCell ref="K3:K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9"/>
  </sheetPr>
  <dimension ref="B1:I37"/>
  <sheetViews>
    <sheetView showGridLines="0" tabSelected="1" workbookViewId="0">
      <selection activeCell="C25" sqref="C25"/>
    </sheetView>
  </sheetViews>
  <sheetFormatPr defaultRowHeight="15.75"/>
  <cols>
    <col min="1" max="1" width="2" style="1" customWidth="1"/>
    <col min="2" max="3" width="12.625" style="1" customWidth="1"/>
    <col min="4" max="4" width="14.875" style="1" customWidth="1"/>
    <col min="5" max="5" width="14.5" style="1" customWidth="1"/>
    <col min="6" max="6" width="8.625" style="1" customWidth="1"/>
    <col min="7" max="7" width="14.875" style="1" customWidth="1"/>
    <col min="8" max="8" width="8.625" style="1" customWidth="1"/>
    <col min="9" max="9" width="14.875" style="1" customWidth="1"/>
    <col min="10" max="16384" width="9" style="1"/>
  </cols>
  <sheetData>
    <row r="1" spans="2:9" ht="16.5" thickBot="1"/>
    <row r="2" spans="2:9" ht="18" thickTop="1">
      <c r="B2" s="596" t="s">
        <v>497</v>
      </c>
      <c r="C2" s="597"/>
      <c r="D2" s="597"/>
      <c r="E2" s="173"/>
      <c r="F2" s="173"/>
      <c r="G2" s="173"/>
      <c r="H2" s="173"/>
      <c r="I2" s="174"/>
    </row>
    <row r="3" spans="2:9" ht="36">
      <c r="B3" s="175" t="s">
        <v>348</v>
      </c>
      <c r="C3" s="176" t="s">
        <v>349</v>
      </c>
      <c r="D3" s="176" t="s">
        <v>350</v>
      </c>
      <c r="E3" s="176" t="s">
        <v>115</v>
      </c>
      <c r="F3" s="177" t="s">
        <v>351</v>
      </c>
      <c r="G3" s="177" t="s">
        <v>504</v>
      </c>
      <c r="H3" s="176" t="s">
        <v>352</v>
      </c>
      <c r="I3" s="178" t="s">
        <v>353</v>
      </c>
    </row>
    <row r="4" spans="2:9">
      <c r="B4" s="433"/>
      <c r="C4" s="434"/>
      <c r="D4" s="435"/>
      <c r="E4" s="435"/>
      <c r="F4" s="434"/>
      <c r="G4" s="436" t="str">
        <f>IF(ISBLANK(E4)=TRUE,"",E4/F4)</f>
        <v/>
      </c>
      <c r="H4" s="434"/>
      <c r="I4" s="437" t="str">
        <f>IF(ISNUMBER(C4),C4/H4,"")</f>
        <v/>
      </c>
    </row>
    <row r="5" spans="2:9">
      <c r="B5" s="433"/>
      <c r="C5" s="434"/>
      <c r="D5" s="435"/>
      <c r="E5" s="435"/>
      <c r="F5" s="434"/>
      <c r="G5" s="436" t="str">
        <f t="shared" ref="G5:G18" si="0">IF(ISBLANK(E5)=TRUE,"",E5/F5)</f>
        <v/>
      </c>
      <c r="H5" s="434"/>
      <c r="I5" s="437" t="str">
        <f t="shared" ref="I5:I18" si="1">IF(ISNUMBER(C5),C5/H5,"")</f>
        <v/>
      </c>
    </row>
    <row r="6" spans="2:9">
      <c r="B6" s="433"/>
      <c r="C6" s="434"/>
      <c r="D6" s="435"/>
      <c r="E6" s="435"/>
      <c r="F6" s="434"/>
      <c r="G6" s="436" t="str">
        <f t="shared" si="0"/>
        <v/>
      </c>
      <c r="H6" s="434"/>
      <c r="I6" s="437" t="str">
        <f t="shared" si="1"/>
        <v/>
      </c>
    </row>
    <row r="7" spans="2:9">
      <c r="B7" s="433"/>
      <c r="C7" s="434"/>
      <c r="D7" s="435"/>
      <c r="E7" s="435"/>
      <c r="F7" s="434"/>
      <c r="G7" s="436" t="str">
        <f t="shared" si="0"/>
        <v/>
      </c>
      <c r="H7" s="434"/>
      <c r="I7" s="437" t="str">
        <f t="shared" si="1"/>
        <v/>
      </c>
    </row>
    <row r="8" spans="2:9">
      <c r="B8" s="433"/>
      <c r="C8" s="434"/>
      <c r="D8" s="435"/>
      <c r="E8" s="435"/>
      <c r="F8" s="434"/>
      <c r="G8" s="436" t="str">
        <f t="shared" si="0"/>
        <v/>
      </c>
      <c r="H8" s="434"/>
      <c r="I8" s="437" t="str">
        <f t="shared" si="1"/>
        <v/>
      </c>
    </row>
    <row r="9" spans="2:9">
      <c r="B9" s="438"/>
      <c r="C9" s="435"/>
      <c r="D9" s="435"/>
      <c r="E9" s="435"/>
      <c r="F9" s="435"/>
      <c r="G9" s="436" t="str">
        <f t="shared" si="0"/>
        <v/>
      </c>
      <c r="H9" s="435"/>
      <c r="I9" s="437" t="str">
        <f t="shared" si="1"/>
        <v/>
      </c>
    </row>
    <row r="10" spans="2:9">
      <c r="B10" s="438"/>
      <c r="C10" s="435"/>
      <c r="D10" s="435"/>
      <c r="E10" s="435"/>
      <c r="F10" s="435"/>
      <c r="G10" s="436" t="str">
        <f t="shared" si="0"/>
        <v/>
      </c>
      <c r="H10" s="435"/>
      <c r="I10" s="437" t="str">
        <f t="shared" si="1"/>
        <v/>
      </c>
    </row>
    <row r="11" spans="2:9">
      <c r="B11" s="438"/>
      <c r="C11" s="435"/>
      <c r="D11" s="435"/>
      <c r="E11" s="435"/>
      <c r="F11" s="435"/>
      <c r="G11" s="436" t="str">
        <f t="shared" si="0"/>
        <v/>
      </c>
      <c r="H11" s="435"/>
      <c r="I11" s="437" t="str">
        <f t="shared" si="1"/>
        <v/>
      </c>
    </row>
    <row r="12" spans="2:9">
      <c r="B12" s="438"/>
      <c r="C12" s="435"/>
      <c r="D12" s="435"/>
      <c r="E12" s="435"/>
      <c r="F12" s="435"/>
      <c r="G12" s="436" t="str">
        <f t="shared" si="0"/>
        <v/>
      </c>
      <c r="H12" s="435"/>
      <c r="I12" s="437" t="str">
        <f t="shared" si="1"/>
        <v/>
      </c>
    </row>
    <row r="13" spans="2:9">
      <c r="B13" s="438"/>
      <c r="C13" s="435"/>
      <c r="D13" s="435"/>
      <c r="E13" s="435"/>
      <c r="F13" s="435"/>
      <c r="G13" s="436" t="str">
        <f t="shared" si="0"/>
        <v/>
      </c>
      <c r="H13" s="435"/>
      <c r="I13" s="437" t="str">
        <f t="shared" si="1"/>
        <v/>
      </c>
    </row>
    <row r="14" spans="2:9">
      <c r="B14" s="438"/>
      <c r="C14" s="435"/>
      <c r="D14" s="435"/>
      <c r="E14" s="435"/>
      <c r="F14" s="435"/>
      <c r="G14" s="436" t="str">
        <f t="shared" si="0"/>
        <v/>
      </c>
      <c r="H14" s="435"/>
      <c r="I14" s="437" t="str">
        <f t="shared" si="1"/>
        <v/>
      </c>
    </row>
    <row r="15" spans="2:9">
      <c r="B15" s="438"/>
      <c r="C15" s="435"/>
      <c r="D15" s="435"/>
      <c r="E15" s="435"/>
      <c r="F15" s="435"/>
      <c r="G15" s="436" t="str">
        <f t="shared" si="0"/>
        <v/>
      </c>
      <c r="H15" s="435"/>
      <c r="I15" s="437" t="str">
        <f t="shared" si="1"/>
        <v/>
      </c>
    </row>
    <row r="16" spans="2:9">
      <c r="B16" s="438"/>
      <c r="C16" s="435"/>
      <c r="D16" s="435"/>
      <c r="E16" s="435"/>
      <c r="F16" s="435"/>
      <c r="G16" s="436" t="str">
        <f t="shared" si="0"/>
        <v/>
      </c>
      <c r="H16" s="435"/>
      <c r="I16" s="437" t="str">
        <f t="shared" si="1"/>
        <v/>
      </c>
    </row>
    <row r="17" spans="2:9">
      <c r="B17" s="438"/>
      <c r="C17" s="435"/>
      <c r="D17" s="435"/>
      <c r="E17" s="435"/>
      <c r="F17" s="435"/>
      <c r="G17" s="436" t="str">
        <f t="shared" si="0"/>
        <v/>
      </c>
      <c r="H17" s="435"/>
      <c r="I17" s="437" t="str">
        <f t="shared" si="1"/>
        <v/>
      </c>
    </row>
    <row r="18" spans="2:9" ht="16.5" thickBot="1">
      <c r="B18" s="439"/>
      <c r="C18" s="440"/>
      <c r="D18" s="440"/>
      <c r="E18" s="440"/>
      <c r="F18" s="440"/>
      <c r="G18" s="441" t="str">
        <f t="shared" si="0"/>
        <v/>
      </c>
      <c r="H18" s="440"/>
      <c r="I18" s="442" t="str">
        <f t="shared" si="1"/>
        <v/>
      </c>
    </row>
    <row r="19" spans="2:9" ht="17.25" thickTop="1" thickBot="1"/>
    <row r="20" spans="2:9" ht="18" thickTop="1">
      <c r="B20" s="596" t="s">
        <v>498</v>
      </c>
      <c r="C20" s="597"/>
      <c r="D20" s="597"/>
      <c r="E20" s="173"/>
      <c r="F20" s="173"/>
      <c r="G20" s="173"/>
      <c r="H20" s="173"/>
      <c r="I20" s="174"/>
    </row>
    <row r="21" spans="2:9" ht="36">
      <c r="B21" s="175" t="s">
        <v>348</v>
      </c>
      <c r="C21" s="176" t="s">
        <v>349</v>
      </c>
      <c r="D21" s="176" t="s">
        <v>350</v>
      </c>
      <c r="E21" s="176" t="s">
        <v>115</v>
      </c>
      <c r="F21" s="177" t="s">
        <v>351</v>
      </c>
      <c r="G21" s="177" t="s">
        <v>504</v>
      </c>
      <c r="H21" s="176" t="s">
        <v>352</v>
      </c>
      <c r="I21" s="178" t="s">
        <v>353</v>
      </c>
    </row>
    <row r="22" spans="2:9">
      <c r="B22" s="179"/>
      <c r="C22" s="180"/>
      <c r="D22" s="181"/>
      <c r="E22" s="181"/>
      <c r="F22" s="180"/>
      <c r="G22" s="187" t="str">
        <f>IF(ISBLANK(E22)=TRUE,"",E22/F22)</f>
        <v/>
      </c>
      <c r="H22" s="180"/>
      <c r="I22" s="182" t="str">
        <f>IF(ISNUMBER(C22),C22/H22,"")</f>
        <v/>
      </c>
    </row>
    <row r="23" spans="2:9">
      <c r="B23" s="179"/>
      <c r="C23" s="180"/>
      <c r="D23" s="181"/>
      <c r="E23" s="181"/>
      <c r="F23" s="180"/>
      <c r="G23" s="187" t="str">
        <f t="shared" ref="G23:G36" si="2">IF(ISBLANK(E23)=TRUE,"",E23/F23)</f>
        <v/>
      </c>
      <c r="H23" s="180"/>
      <c r="I23" s="182" t="str">
        <f t="shared" ref="I23:I36" si="3">IF(ISNUMBER(C23),C23/H23,"")</f>
        <v/>
      </c>
    </row>
    <row r="24" spans="2:9">
      <c r="B24" s="179"/>
      <c r="C24" s="180"/>
      <c r="D24" s="181"/>
      <c r="E24" s="181"/>
      <c r="F24" s="180"/>
      <c r="G24" s="187" t="str">
        <f t="shared" si="2"/>
        <v/>
      </c>
      <c r="H24" s="180"/>
      <c r="I24" s="182" t="str">
        <f t="shared" si="3"/>
        <v/>
      </c>
    </row>
    <row r="25" spans="2:9">
      <c r="B25" s="179"/>
      <c r="C25" s="180"/>
      <c r="D25" s="181"/>
      <c r="E25" s="181"/>
      <c r="F25" s="180"/>
      <c r="G25" s="187" t="str">
        <f t="shared" si="2"/>
        <v/>
      </c>
      <c r="H25" s="180"/>
      <c r="I25" s="182" t="str">
        <f t="shared" si="3"/>
        <v/>
      </c>
    </row>
    <row r="26" spans="2:9">
      <c r="B26" s="179"/>
      <c r="C26" s="180"/>
      <c r="D26" s="181"/>
      <c r="E26" s="181"/>
      <c r="F26" s="180"/>
      <c r="G26" s="187" t="str">
        <f t="shared" si="2"/>
        <v/>
      </c>
      <c r="H26" s="180"/>
      <c r="I26" s="182" t="str">
        <f t="shared" si="3"/>
        <v/>
      </c>
    </row>
    <row r="27" spans="2:9">
      <c r="B27" s="183"/>
      <c r="C27" s="181"/>
      <c r="D27" s="181"/>
      <c r="E27" s="181"/>
      <c r="F27" s="181"/>
      <c r="G27" s="187" t="str">
        <f t="shared" si="2"/>
        <v/>
      </c>
      <c r="H27" s="181"/>
      <c r="I27" s="182" t="str">
        <f t="shared" si="3"/>
        <v/>
      </c>
    </row>
    <row r="28" spans="2:9">
      <c r="B28" s="183"/>
      <c r="C28" s="181"/>
      <c r="D28" s="181"/>
      <c r="E28" s="181"/>
      <c r="F28" s="181"/>
      <c r="G28" s="187" t="str">
        <f t="shared" si="2"/>
        <v/>
      </c>
      <c r="H28" s="181"/>
      <c r="I28" s="182" t="str">
        <f t="shared" si="3"/>
        <v/>
      </c>
    </row>
    <row r="29" spans="2:9">
      <c r="B29" s="183"/>
      <c r="C29" s="181"/>
      <c r="D29" s="181"/>
      <c r="E29" s="181"/>
      <c r="F29" s="181"/>
      <c r="G29" s="187" t="str">
        <f t="shared" si="2"/>
        <v/>
      </c>
      <c r="H29" s="181"/>
      <c r="I29" s="182" t="str">
        <f t="shared" si="3"/>
        <v/>
      </c>
    </row>
    <row r="30" spans="2:9">
      <c r="B30" s="183"/>
      <c r="C30" s="181"/>
      <c r="D30" s="181"/>
      <c r="E30" s="181"/>
      <c r="F30" s="181"/>
      <c r="G30" s="187" t="str">
        <f t="shared" si="2"/>
        <v/>
      </c>
      <c r="H30" s="181"/>
      <c r="I30" s="182" t="str">
        <f t="shared" si="3"/>
        <v/>
      </c>
    </row>
    <row r="31" spans="2:9">
      <c r="B31" s="183"/>
      <c r="C31" s="181"/>
      <c r="D31" s="181"/>
      <c r="E31" s="181"/>
      <c r="F31" s="181"/>
      <c r="G31" s="187" t="str">
        <f t="shared" si="2"/>
        <v/>
      </c>
      <c r="H31" s="181"/>
      <c r="I31" s="182" t="str">
        <f t="shared" si="3"/>
        <v/>
      </c>
    </row>
    <row r="32" spans="2:9">
      <c r="B32" s="183"/>
      <c r="C32" s="181"/>
      <c r="D32" s="181"/>
      <c r="E32" s="181"/>
      <c r="F32" s="181"/>
      <c r="G32" s="187" t="str">
        <f t="shared" si="2"/>
        <v/>
      </c>
      <c r="H32" s="181"/>
      <c r="I32" s="182" t="str">
        <f t="shared" si="3"/>
        <v/>
      </c>
    </row>
    <row r="33" spans="2:9">
      <c r="B33" s="183"/>
      <c r="C33" s="181"/>
      <c r="D33" s="181"/>
      <c r="E33" s="181"/>
      <c r="F33" s="181"/>
      <c r="G33" s="187" t="str">
        <f t="shared" si="2"/>
        <v/>
      </c>
      <c r="H33" s="181"/>
      <c r="I33" s="182" t="str">
        <f t="shared" si="3"/>
        <v/>
      </c>
    </row>
    <row r="34" spans="2:9">
      <c r="B34" s="183"/>
      <c r="C34" s="181"/>
      <c r="D34" s="181"/>
      <c r="E34" s="181"/>
      <c r="F34" s="181"/>
      <c r="G34" s="187" t="str">
        <f t="shared" si="2"/>
        <v/>
      </c>
      <c r="H34" s="181"/>
      <c r="I34" s="182" t="str">
        <f t="shared" si="3"/>
        <v/>
      </c>
    </row>
    <row r="35" spans="2:9">
      <c r="B35" s="183"/>
      <c r="C35" s="181"/>
      <c r="D35" s="181"/>
      <c r="E35" s="181"/>
      <c r="F35" s="181"/>
      <c r="G35" s="187" t="str">
        <f t="shared" si="2"/>
        <v/>
      </c>
      <c r="H35" s="181"/>
      <c r="I35" s="182" t="str">
        <f t="shared" si="3"/>
        <v/>
      </c>
    </row>
    <row r="36" spans="2:9" ht="16.5" thickBot="1">
      <c r="B36" s="184"/>
      <c r="C36" s="185"/>
      <c r="D36" s="185"/>
      <c r="E36" s="185"/>
      <c r="F36" s="185"/>
      <c r="G36" s="188" t="str">
        <f t="shared" si="2"/>
        <v/>
      </c>
      <c r="H36" s="185"/>
      <c r="I36" s="189" t="str">
        <f t="shared" si="3"/>
        <v/>
      </c>
    </row>
    <row r="37" spans="2:9" ht="16.5" thickTop="1"/>
  </sheetData>
  <sheetProtection password="FFED" sheet="1" objects="1" scenarios="1" formatCells="0" formatColumns="0" formatRows="0"/>
  <mergeCells count="2">
    <mergeCell ref="B2:D2"/>
    <mergeCell ref="B20:D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tabColor rgb="FFFFFFC9"/>
  </sheetPr>
  <dimension ref="A1:S96"/>
  <sheetViews>
    <sheetView showGridLines="0" topLeftCell="A46" zoomScaleNormal="100" workbookViewId="0">
      <selection activeCell="F73" sqref="F73"/>
    </sheetView>
  </sheetViews>
  <sheetFormatPr defaultColWidth="9.75" defaultRowHeight="0" customHeight="1" zeroHeight="1"/>
  <cols>
    <col min="1" max="1" width="24.625" style="52" customWidth="1"/>
    <col min="2" max="2" width="20.25" style="52" customWidth="1"/>
    <col min="3" max="3" width="15.125" style="52" customWidth="1"/>
    <col min="4" max="5" width="9.75" style="52" customWidth="1"/>
    <col min="6" max="6" width="11" style="52" customWidth="1"/>
    <col min="7" max="7" width="12.5" style="52" customWidth="1"/>
    <col min="8" max="8" width="18.25" style="52" customWidth="1"/>
    <col min="9" max="9" width="11.875" style="52" customWidth="1"/>
    <col min="10" max="10" width="11.375" style="52" customWidth="1"/>
    <col min="11" max="11" width="9.75" style="52"/>
    <col min="12" max="12" width="24.125" style="52" customWidth="1"/>
    <col min="13" max="13" width="19.625" style="52" customWidth="1"/>
    <col min="14" max="15" width="13" style="52" customWidth="1"/>
    <col min="16" max="16384" width="9.75" style="52"/>
  </cols>
  <sheetData>
    <row r="1" spans="1:12" ht="14.25" thickTop="1" thickBot="1">
      <c r="A1" s="690" t="s">
        <v>131</v>
      </c>
      <c r="B1" s="691"/>
      <c r="C1" s="691"/>
      <c r="D1" s="691"/>
      <c r="E1" s="691"/>
      <c r="F1" s="691"/>
      <c r="G1" s="691"/>
      <c r="H1" s="691"/>
      <c r="I1" s="691"/>
      <c r="J1" s="692"/>
    </row>
    <row r="2" spans="1:12" ht="14.25" thickTop="1" thickBot="1">
      <c r="A2" s="693" t="s">
        <v>130</v>
      </c>
      <c r="B2" s="694"/>
      <c r="C2" s="694"/>
      <c r="D2" s="694"/>
      <c r="E2" s="694"/>
      <c r="F2" s="694"/>
      <c r="G2" s="694"/>
      <c r="H2" s="694"/>
      <c r="I2" s="694"/>
      <c r="J2" s="695"/>
    </row>
    <row r="3" spans="1:12" ht="14.25" thickTop="1" thickBot="1">
      <c r="A3" s="410" t="s">
        <v>108</v>
      </c>
      <c r="B3" s="410"/>
      <c r="C3" s="410"/>
      <c r="D3" s="411"/>
      <c r="E3" s="411"/>
      <c r="F3" s="411"/>
    </row>
    <row r="4" spans="1:12" ht="14.25" thickTop="1" thickBot="1">
      <c r="A4" s="44" t="s">
        <v>90</v>
      </c>
      <c r="B4" s="120"/>
      <c r="C4" s="45" t="s">
        <v>76</v>
      </c>
      <c r="D4" s="696"/>
      <c r="E4" s="697"/>
      <c r="F4" s="697"/>
      <c r="G4" s="698"/>
      <c r="H4" s="699" t="s">
        <v>110</v>
      </c>
      <c r="I4" s="700"/>
      <c r="J4" s="701"/>
    </row>
    <row r="5" spans="1:12" ht="13.5" thickTop="1">
      <c r="A5" s="108" t="s">
        <v>132</v>
      </c>
      <c r="B5" s="121"/>
      <c r="C5" s="46" t="s">
        <v>58</v>
      </c>
      <c r="D5" s="702"/>
      <c r="E5" s="703"/>
      <c r="F5" s="703"/>
      <c r="G5" s="704"/>
      <c r="H5" s="124"/>
      <c r="I5" s="125"/>
      <c r="J5" s="126"/>
      <c r="L5" s="547">
        <f>360*0.00001</f>
        <v>3.6000000000000003E-3</v>
      </c>
    </row>
    <row r="6" spans="1:12" ht="12.75">
      <c r="A6" s="47" t="s">
        <v>59</v>
      </c>
      <c r="B6" s="122"/>
      <c r="C6" s="71" t="s">
        <v>60</v>
      </c>
      <c r="D6" s="687"/>
      <c r="E6" s="688"/>
      <c r="F6" s="688"/>
      <c r="G6" s="689"/>
      <c r="H6" s="127"/>
      <c r="I6" s="128"/>
      <c r="J6" s="129"/>
    </row>
    <row r="7" spans="1:12" ht="27" customHeight="1">
      <c r="A7" s="107" t="s">
        <v>129</v>
      </c>
      <c r="B7" s="123"/>
      <c r="C7" s="106" t="s">
        <v>128</v>
      </c>
      <c r="D7" s="105">
        <v>60</v>
      </c>
      <c r="E7" s="83"/>
      <c r="F7" s="83"/>
      <c r="G7" s="84"/>
      <c r="H7" s="127"/>
      <c r="I7" s="130"/>
      <c r="J7" s="129"/>
    </row>
    <row r="8" spans="1:12" ht="25.5">
      <c r="A8" s="107" t="s">
        <v>522</v>
      </c>
      <c r="B8" s="546">
        <f>B7*1.8</f>
        <v>0</v>
      </c>
      <c r="C8" s="46"/>
      <c r="D8" s="86" t="s">
        <v>106</v>
      </c>
      <c r="E8" s="86" t="s">
        <v>107</v>
      </c>
      <c r="F8" s="43" t="s">
        <v>75</v>
      </c>
      <c r="G8" s="88" t="s">
        <v>93</v>
      </c>
      <c r="H8" s="127"/>
      <c r="I8" s="130"/>
      <c r="J8" s="129"/>
    </row>
    <row r="9" spans="1:12" ht="18.75" customHeight="1">
      <c r="A9" s="47" t="s">
        <v>63</v>
      </c>
      <c r="B9" s="122"/>
      <c r="C9" s="58" t="s">
        <v>98</v>
      </c>
      <c r="D9" s="65" t="e">
        <f>AVERAGE(I32:J32)</f>
        <v>#DIV/0!</v>
      </c>
      <c r="E9" s="65" t="e">
        <f>AVERAGE(I37:J37)</f>
        <v>#DIV/0!</v>
      </c>
      <c r="F9" s="121"/>
      <c r="G9" s="89" t="e">
        <f>AVERAGE(D9:E9)</f>
        <v>#DIV/0!</v>
      </c>
      <c r="H9" s="127"/>
      <c r="I9" s="128"/>
      <c r="J9" s="129"/>
    </row>
    <row r="10" spans="1:12" ht="18.75" customHeight="1">
      <c r="A10" s="47" t="s">
        <v>73</v>
      </c>
      <c r="B10" s="418"/>
      <c r="C10" s="58" t="s">
        <v>99</v>
      </c>
      <c r="D10" s="65" t="e">
        <f>AVERAGE(I33:J33)</f>
        <v>#DIV/0!</v>
      </c>
      <c r="E10" s="65" t="e">
        <f>AVERAGE(I38:J38)</f>
        <v>#DIV/0!</v>
      </c>
      <c r="F10" s="121"/>
      <c r="G10" s="89" t="e">
        <f>AVERAGE(D10:E10)</f>
        <v>#DIV/0!</v>
      </c>
      <c r="H10" s="127"/>
      <c r="I10" s="128"/>
      <c r="J10" s="129"/>
    </row>
    <row r="11" spans="1:12" ht="27" customHeight="1">
      <c r="A11" s="107" t="s">
        <v>74</v>
      </c>
      <c r="B11" s="418"/>
      <c r="C11" s="58" t="s">
        <v>100</v>
      </c>
      <c r="D11" s="65" t="e">
        <f>AVERAGE(I34:J34)</f>
        <v>#DIV/0!</v>
      </c>
      <c r="E11" s="65" t="e">
        <f>AVERAGE(I39:J39)</f>
        <v>#DIV/0!</v>
      </c>
      <c r="F11" s="121"/>
      <c r="G11" s="89" t="e">
        <f>AVERAGE(D11:E11)</f>
        <v>#DIV/0!</v>
      </c>
      <c r="H11" s="127"/>
      <c r="I11" s="128"/>
      <c r="J11" s="129"/>
    </row>
    <row r="12" spans="1:12" ht="20.25" customHeight="1" thickBot="1">
      <c r="A12" s="48" t="s">
        <v>64</v>
      </c>
      <c r="B12" s="419"/>
      <c r="C12" s="684" t="s">
        <v>114</v>
      </c>
      <c r="D12" s="685"/>
      <c r="E12" s="686"/>
      <c r="F12" s="133"/>
      <c r="G12" s="72"/>
      <c r="H12" s="127"/>
      <c r="I12" s="128"/>
      <c r="J12" s="129"/>
    </row>
    <row r="13" spans="1:12" ht="20.25" customHeight="1" thickTop="1" thickBot="1">
      <c r="A13" s="675" t="s">
        <v>126</v>
      </c>
      <c r="B13" s="675"/>
      <c r="C13" s="675"/>
      <c r="D13" s="676"/>
      <c r="E13" s="676"/>
      <c r="F13" s="676"/>
      <c r="G13" s="90"/>
      <c r="H13" s="127"/>
      <c r="I13" s="128"/>
      <c r="J13" s="129"/>
    </row>
    <row r="14" spans="1:12" ht="20.25" customHeight="1" thickTop="1">
      <c r="A14" s="677" t="s">
        <v>138</v>
      </c>
      <c r="B14" s="679" t="s">
        <v>80</v>
      </c>
      <c r="C14" s="679" t="s">
        <v>81</v>
      </c>
      <c r="D14" s="681" t="s">
        <v>115</v>
      </c>
      <c r="E14" s="679" t="s">
        <v>79</v>
      </c>
      <c r="F14" s="639" t="s">
        <v>505</v>
      </c>
      <c r="G14" s="644" t="s">
        <v>82</v>
      </c>
      <c r="H14" s="635" t="s">
        <v>94</v>
      </c>
      <c r="I14" s="128"/>
      <c r="J14" s="129"/>
    </row>
    <row r="15" spans="1:12" ht="20.25" customHeight="1" thickBot="1">
      <c r="A15" s="678"/>
      <c r="B15" s="680"/>
      <c r="C15" s="680"/>
      <c r="D15" s="680"/>
      <c r="E15" s="680"/>
      <c r="F15" s="640"/>
      <c r="G15" s="645"/>
      <c r="H15" s="636"/>
      <c r="I15" s="128"/>
      <c r="J15" s="129"/>
    </row>
    <row r="16" spans="1:12" ht="15.75" customHeight="1" thickTop="1">
      <c r="A16" s="544"/>
      <c r="B16" s="423" t="str">
        <f>IF(ISBLANK(VLOOKUP(A16,EmptyReference,2,FALSE))=TRUE, "",VLOOKUP(A16,EmptyReference,2,FALSE))</f>
        <v/>
      </c>
      <c r="C16" s="423" t="str">
        <f>IF(ISBLANK(VLOOKUP(A16,EmptyReference,3,FALSE))=TRUE, "",VLOOKUP(A16,EmptyReference,3,FALSE))</f>
        <v/>
      </c>
      <c r="D16" s="423" t="str">
        <f>IF(ISBLANK(VLOOKUP(A16,EmptyReference,4,FALSE))=TRUE, "",VLOOKUP(A16,EmptyReference,4,FALSE))</f>
        <v/>
      </c>
      <c r="E16" s="423" t="str">
        <f>IF(ISBLANK(VLOOKUP(A16,EmptyReference,5,FALSE))=TRUE, "",VLOOKUP(A16,EmptyReference,5,FALSE))</f>
        <v/>
      </c>
      <c r="F16" s="424" t="str">
        <f>IF(ISBLANK(VLOOKUP(A16,EmptyReference,6,FALSE))=TRUE, "",VLOOKUP(A16,EmptyReference,6,FALSE))</f>
        <v/>
      </c>
      <c r="G16" s="425" t="str">
        <f>IF(ISBLANK(VLOOKUP(A16,EmptyReference,7,FALSE))=TRUE, "",VLOOKUP(A16,EmptyReference,7,FALSE))</f>
        <v/>
      </c>
      <c r="H16" s="426" t="str">
        <f>IF(ISBLANK(VLOOKUP(A16,EmptyReference,8,FALSE))=TRUE, "",VLOOKUP(A16,EmptyReference,8,FALSE))</f>
        <v/>
      </c>
      <c r="I16" s="128"/>
      <c r="J16" s="129"/>
    </row>
    <row r="17" spans="1:16" ht="15.75" customHeight="1">
      <c r="A17" s="542"/>
      <c r="B17" s="423" t="str">
        <f>IF(ISBLANK(VLOOKUP(A17,EmptyReference,2,FALSE))=TRUE, "",VLOOKUP(A17,EmptyReference,2,FALSE))</f>
        <v/>
      </c>
      <c r="C17" s="423" t="str">
        <f>IF(ISBLANK(VLOOKUP(A17,EmptyReference,3,FALSE))=TRUE, "",VLOOKUP(A17,EmptyReference,3,FALSE))</f>
        <v/>
      </c>
      <c r="D17" s="423" t="str">
        <f>IF(ISBLANK(VLOOKUP(A17,EmptyReference,4,FALSE))=TRUE, "",VLOOKUP(A17,EmptyReference,4,FALSE))</f>
        <v/>
      </c>
      <c r="E17" s="423" t="str">
        <f>IF(ISBLANK(VLOOKUP(A17,EmptyReference,5,FALSE))=TRUE, "",VLOOKUP(A17,EmptyReference,5,FALSE))</f>
        <v/>
      </c>
      <c r="F17" s="428" t="str">
        <f>IF(ISBLANK(VLOOKUP(A17,EmptyReference,6,FALSE))=TRUE, "",VLOOKUP(A17,EmptyReference,6,FALSE))</f>
        <v/>
      </c>
      <c r="G17" s="425" t="str">
        <f>IF(ISBLANK(VLOOKUP(A17,EmptyReference,7,FALSE))=TRUE, "",VLOOKUP(A17,EmptyReference,7,FALSE))</f>
        <v/>
      </c>
      <c r="H17" s="426" t="str">
        <f>IF(ISBLANK(VLOOKUP(A17,EmptyReference,8,FALSE))=TRUE, "",VLOOKUP(A17,EmptyReference,8,FALSE))</f>
        <v/>
      </c>
      <c r="I17" s="128"/>
      <c r="J17" s="129"/>
    </row>
    <row r="18" spans="1:16" ht="15.75" customHeight="1">
      <c r="A18" s="542"/>
      <c r="B18" s="423" t="str">
        <f>IF(ISBLANK(VLOOKUP(A18,EmptyReference,2,FALSE))=TRUE, "",VLOOKUP(A18,EmptyReference,2,FALSE))</f>
        <v/>
      </c>
      <c r="C18" s="423" t="str">
        <f>IF(ISBLANK(VLOOKUP(A18,EmptyReference,3,FALSE))=TRUE, "",VLOOKUP(A18,EmptyReference,3,FALSE))</f>
        <v/>
      </c>
      <c r="D18" s="423" t="str">
        <f>IF(ISBLANK(VLOOKUP(A18,EmptyReference,4,FALSE))=TRUE, "",VLOOKUP(A18,EmptyReference,4,FALSE))</f>
        <v/>
      </c>
      <c r="E18" s="423" t="str">
        <f>IF(ISBLANK(VLOOKUP(A18,EmptyReference,5,FALSE))=TRUE, "",VLOOKUP(A18,EmptyReference,5,FALSE))</f>
        <v/>
      </c>
      <c r="F18" s="428" t="str">
        <f>IF(ISBLANK(VLOOKUP(A18,EmptyReference,6,FALSE))=TRUE, "",VLOOKUP(A18,EmptyReference,6,FALSE))</f>
        <v/>
      </c>
      <c r="G18" s="425" t="str">
        <f>IF(ISBLANK(VLOOKUP(A18,EmptyReference,7,FALSE))=TRUE, "",VLOOKUP(A18,EmptyReference,7,FALSE))</f>
        <v/>
      </c>
      <c r="H18" s="426" t="str">
        <f>IF(ISBLANK(VLOOKUP(A18,EmptyReference,8,FALSE))=TRUE, "",VLOOKUP(A18,EmptyReference,8,FALSE))</f>
        <v/>
      </c>
      <c r="I18" s="128"/>
      <c r="J18" s="129"/>
    </row>
    <row r="19" spans="1:16" ht="15.75" customHeight="1" thickBot="1">
      <c r="A19" s="543"/>
      <c r="B19" s="423" t="str">
        <f>IF(ISBLANK(VLOOKUP(A19,EmptyReference,2,FALSE))=TRUE, "",VLOOKUP(A19,EmptyReference,2,FALSE))</f>
        <v/>
      </c>
      <c r="C19" s="423" t="str">
        <f>IF(ISBLANK(VLOOKUP(A19,EmptyReference,3,FALSE))=TRUE, "",VLOOKUP(A19,EmptyReference,3,FALSE))</f>
        <v/>
      </c>
      <c r="D19" s="423" t="str">
        <f>IF(ISBLANK(VLOOKUP(A19,EmptyReference,4,FALSE))=TRUE, "",VLOOKUP(A19,EmptyReference,4,FALSE))</f>
        <v/>
      </c>
      <c r="E19" s="423" t="str">
        <f>IF(ISBLANK(VLOOKUP(A19,EmptyReference,5,FALSE))=TRUE, "",VLOOKUP(A19,EmptyReference,5,FALSE))</f>
        <v/>
      </c>
      <c r="F19" s="429" t="str">
        <f>IF(ISBLANK(VLOOKUP(A19,EmptyReference,6,FALSE))=TRUE, "",VLOOKUP(A19,EmptyReference,6,FALSE))</f>
        <v/>
      </c>
      <c r="G19" s="425" t="str">
        <f>IF(ISBLANK(VLOOKUP(A19,EmptyReference,7,FALSE))=TRUE, "",VLOOKUP(A19,EmptyReference,7,FALSE))</f>
        <v/>
      </c>
      <c r="H19" s="426" t="str">
        <f>IF(ISBLANK(VLOOKUP(A19,EmptyReference,8,FALSE))=TRUE, "",VLOOKUP(A19,EmptyReference,8,FALSE))</f>
        <v/>
      </c>
      <c r="I19" s="128"/>
      <c r="J19" s="129"/>
    </row>
    <row r="20" spans="1:16" ht="15.75" customHeight="1" thickTop="1" thickBot="1">
      <c r="A20" s="60" t="s">
        <v>92</v>
      </c>
      <c r="B20" s="64" t="str">
        <f>IF(B16="", "", SUM(B16:B19))</f>
        <v/>
      </c>
      <c r="C20" s="64" t="str">
        <f>IF(C16="", "", SUM(C16:C19))</f>
        <v/>
      </c>
      <c r="D20" s="430"/>
      <c r="E20" s="430"/>
      <c r="F20" s="431" t="str">
        <f>IF(F16="", "",SUM(F16:F19))</f>
        <v/>
      </c>
      <c r="G20" s="420" t="str">
        <f>IF(H20="","",ROUND(B20/H20,6))</f>
        <v/>
      </c>
      <c r="H20" s="422" t="str">
        <f>IF(H16="", "",SUM(H16:H19))</f>
        <v/>
      </c>
      <c r="I20" s="128"/>
      <c r="J20" s="129"/>
    </row>
    <row r="21" spans="1:16" ht="14.25" thickTop="1" thickBot="1">
      <c r="A21" s="675" t="s">
        <v>127</v>
      </c>
      <c r="B21" s="675"/>
      <c r="C21" s="675"/>
      <c r="D21" s="676"/>
      <c r="E21" s="676"/>
      <c r="F21" s="676"/>
      <c r="G21" s="454"/>
      <c r="H21" s="458"/>
      <c r="I21" s="128"/>
      <c r="J21" s="129"/>
    </row>
    <row r="22" spans="1:16" ht="39" customHeight="1" thickTop="1">
      <c r="A22" s="677" t="s">
        <v>139</v>
      </c>
      <c r="B22" s="679" t="s">
        <v>80</v>
      </c>
      <c r="C22" s="679" t="s">
        <v>81</v>
      </c>
      <c r="D22" s="681" t="s">
        <v>115</v>
      </c>
      <c r="E22" s="679" t="s">
        <v>79</v>
      </c>
      <c r="F22" s="639" t="s">
        <v>505</v>
      </c>
      <c r="G22" s="644" t="s">
        <v>82</v>
      </c>
      <c r="H22" s="637" t="s">
        <v>94</v>
      </c>
      <c r="I22" s="128"/>
      <c r="J22" s="129"/>
    </row>
    <row r="23" spans="1:16" ht="13.5" thickBot="1">
      <c r="A23" s="678"/>
      <c r="B23" s="680"/>
      <c r="C23" s="680"/>
      <c r="D23" s="680"/>
      <c r="E23" s="680"/>
      <c r="F23" s="640"/>
      <c r="G23" s="645"/>
      <c r="H23" s="638"/>
      <c r="I23" s="128"/>
      <c r="J23" s="129"/>
    </row>
    <row r="24" spans="1:16" ht="13.5" thickTop="1">
      <c r="A24" s="544"/>
      <c r="B24" s="423" t="str">
        <f>IF(ISBLANK(VLOOKUP(A24,FilledReference,2,FALSE))=TRUE, "",VLOOKUP(A24,FilledReference,2,FALSE))</f>
        <v/>
      </c>
      <c r="C24" s="423" t="str">
        <f>IF(ISBLANK(VLOOKUP(A24,FilledReference,3,FALSE))=TRUE, "",VLOOKUP(A24,FilledReference,3,FALSE))</f>
        <v/>
      </c>
      <c r="D24" s="423" t="str">
        <f>IF(ISBLANK(VLOOKUP(A24,FilledReference,4,FALSE))=TRUE, "",VLOOKUP(A24,FilledReference,4,FALSE))</f>
        <v/>
      </c>
      <c r="E24" s="423" t="str">
        <f>IF(ISBLANK(VLOOKUP(A24,FilledReference,5,FALSE))=TRUE, "",VLOOKUP(A24,FilledReference,5,FALSE))</f>
        <v/>
      </c>
      <c r="F24" s="424" t="str">
        <f>IF(ISBLANK(VLOOKUP(A24,FilledReference,6,FALSE))=TRUE, "",VLOOKUP(A24,FilledReference,6,FALSE))</f>
        <v/>
      </c>
      <c r="G24" s="425" t="str">
        <f>IF(ISBLANK(VLOOKUP(A24,FilledReference,7,FALSE))=TRUE, "",VLOOKUP(A24,FilledReference,7,FALSE))</f>
        <v/>
      </c>
      <c r="H24" s="426" t="str">
        <f>IF(ISBLANK(VLOOKUP(A24,FilledReference,8,FALSE))=TRUE, "",VLOOKUP(A24,FilledReference,8,FALSE))</f>
        <v/>
      </c>
      <c r="I24" s="128"/>
      <c r="J24" s="129"/>
    </row>
    <row r="25" spans="1:16" ht="12.75">
      <c r="A25" s="542"/>
      <c r="B25" s="423" t="str">
        <f>IF(ISBLANK(VLOOKUP(A25,FilledReference,2,FALSE))=TRUE, "",VLOOKUP(A25,FilledReference,2,FALSE))</f>
        <v/>
      </c>
      <c r="C25" s="423" t="str">
        <f>IF(ISBLANK(VLOOKUP(A25,FilledReference,3,FALSE))=TRUE, "",VLOOKUP(A25,FilledReference,3,FALSE))</f>
        <v/>
      </c>
      <c r="D25" s="423" t="str">
        <f>IF(ISBLANK(VLOOKUP(A25,FilledReference,4,FALSE))=TRUE, "",VLOOKUP(A25,FilledReference,4,FALSE))</f>
        <v/>
      </c>
      <c r="E25" s="423" t="str">
        <f>IF(ISBLANK(VLOOKUP(A25,FilledReference,5,FALSE))=TRUE, "",VLOOKUP(A25,FilledReference,5,FALSE))</f>
        <v/>
      </c>
      <c r="F25" s="448" t="str">
        <f>IF(ISBLANK(VLOOKUP(A25,FilledReference,6,FALSE))=TRUE, "",VLOOKUP(A25,FilledReference,6,FALSE))</f>
        <v/>
      </c>
      <c r="G25" s="425" t="str">
        <f>IF(ISBLANK(VLOOKUP(A25,FilledReference,7,FALSE))=TRUE, "",VLOOKUP(A25,FilledReference,7,FALSE))</f>
        <v/>
      </c>
      <c r="H25" s="426" t="str">
        <f>IF(ISBLANK(VLOOKUP(A25,FilledReference,8,FALSE))=TRUE, "",VLOOKUP(A25,FilledReference,8,FALSE))</f>
        <v/>
      </c>
      <c r="I25" s="128"/>
      <c r="J25" s="129"/>
    </row>
    <row r="26" spans="1:16" ht="12.75">
      <c r="A26" s="542"/>
      <c r="B26" s="423" t="str">
        <f>IF(ISBLANK(VLOOKUP(A26,FilledReference,2,FALSE))=TRUE, "",VLOOKUP(A26,FilledReference,2,FALSE))</f>
        <v/>
      </c>
      <c r="C26" s="423" t="str">
        <f>IF(ISBLANK(VLOOKUP(A26,FilledReference,3,FALSE))=TRUE, "",VLOOKUP(A26,FilledReference,3,FALSE))</f>
        <v/>
      </c>
      <c r="D26" s="423" t="str">
        <f>IF(ISBLANK(VLOOKUP(A26,FilledReference,4,FALSE))=TRUE, "",VLOOKUP(A26,FilledReference,4,FALSE))</f>
        <v/>
      </c>
      <c r="E26" s="423" t="str">
        <f>IF(ISBLANK(VLOOKUP(A26,FilledReference,5,FALSE))=TRUE, "",VLOOKUP(A26,FilledReference,5,FALSE))</f>
        <v/>
      </c>
      <c r="F26" s="428" t="str">
        <f>IF(ISBLANK(VLOOKUP(A26,FilledReference,6,FALSE))=TRUE, "",VLOOKUP(A26,FilledReference,6,FALSE))</f>
        <v/>
      </c>
      <c r="G26" s="425" t="str">
        <f>IF(ISBLANK(VLOOKUP(A26,FilledReference,7,FALSE))=TRUE, "",VLOOKUP(A26,FilledReference,7,FALSE))</f>
        <v/>
      </c>
      <c r="H26" s="426" t="str">
        <f>IF(ISBLANK(VLOOKUP(A26,FilledReference,8,FALSE))=TRUE, "",VLOOKUP(A26,FilledReference,8,FALSE))</f>
        <v/>
      </c>
      <c r="I26" s="128"/>
      <c r="J26" s="129"/>
    </row>
    <row r="27" spans="1:16" ht="13.5" thickBot="1">
      <c r="A27" s="543"/>
      <c r="B27" s="423" t="str">
        <f>IF(ISBLANK(VLOOKUP(A27,FilledReference,2,FALSE))=TRUE, "",VLOOKUP(A27,FilledReference,2,FALSE))</f>
        <v/>
      </c>
      <c r="C27" s="423" t="str">
        <f>IF(ISBLANK(VLOOKUP(A27,FilledReference,3,FALSE))=TRUE, "",VLOOKUP(A27,FilledReference,3,FALSE))</f>
        <v/>
      </c>
      <c r="D27" s="423" t="str">
        <f>IF(ISBLANK(VLOOKUP(A27,FilledReference,4,FALSE))=TRUE, "",VLOOKUP(A27,FilledReference,4,FALSE))</f>
        <v/>
      </c>
      <c r="E27" s="423" t="str">
        <f>IF(ISBLANK(VLOOKUP(A27,FilledReference,5,FALSE))=TRUE, "",VLOOKUP(A27,FilledReference,5,FALSE))</f>
        <v/>
      </c>
      <c r="F27" s="444" t="str">
        <f>IF(ISBLANK(VLOOKUP(A27,FilledReference,6,FALSE))=TRUE, "",VLOOKUP(A27,FilledReference,6,FALSE))</f>
        <v/>
      </c>
      <c r="G27" s="425" t="str">
        <f>IF(ISBLANK(VLOOKUP(A27,FilledReference,7,FALSE))=TRUE, "",VLOOKUP(A27,FilledReference,7,FALSE))</f>
        <v/>
      </c>
      <c r="H27" s="426" t="str">
        <f>IF(ISBLANK(VLOOKUP(A27,FilledReference,8,FALSE))=TRUE, "",VLOOKUP(A27,FilledReference,8,FALSE))</f>
        <v/>
      </c>
      <c r="I27" s="128"/>
      <c r="J27" s="129"/>
    </row>
    <row r="28" spans="1:16" ht="18.75" customHeight="1" thickTop="1" thickBot="1">
      <c r="A28" s="60" t="s">
        <v>92</v>
      </c>
      <c r="B28" s="64" t="str">
        <f>IF(B24="", "", SUM(B24:B27))</f>
        <v/>
      </c>
      <c r="C28" s="64" t="str">
        <f>IF(C24="", "", SUM(C24:C27))</f>
        <v/>
      </c>
      <c r="D28" s="430"/>
      <c r="E28" s="430"/>
      <c r="F28" s="561" t="str">
        <f>IF(F24="", "",SUM(F24:F27))</f>
        <v/>
      </c>
      <c r="G28" s="420" t="str">
        <f>IF(H28="","",ROUND(B28/H28,6))</f>
        <v/>
      </c>
      <c r="H28" s="422" t="str">
        <f>IF(H24="", "",SUM(H24:H27))</f>
        <v/>
      </c>
      <c r="I28" s="131"/>
      <c r="J28" s="132"/>
    </row>
    <row r="29" spans="1:16" ht="13.5" thickTop="1">
      <c r="A29" s="682" t="s">
        <v>68</v>
      </c>
      <c r="B29" s="682"/>
      <c r="C29" s="682"/>
      <c r="D29" s="682"/>
      <c r="E29" s="682"/>
      <c r="F29" s="682"/>
    </row>
    <row r="30" spans="1:16" ht="13.5" thickBot="1">
      <c r="A30" s="683" t="s">
        <v>103</v>
      </c>
      <c r="B30" s="683"/>
      <c r="C30" s="683"/>
      <c r="D30" s="683"/>
      <c r="E30" s="683"/>
      <c r="F30" s="683"/>
    </row>
    <row r="31" spans="1:16" ht="39" thickTop="1">
      <c r="A31" s="49" t="s">
        <v>40</v>
      </c>
      <c r="B31" s="412" t="s">
        <v>89</v>
      </c>
      <c r="C31" s="412" t="s">
        <v>66</v>
      </c>
      <c r="D31" s="674" t="s">
        <v>97</v>
      </c>
      <c r="E31" s="674"/>
      <c r="F31" s="674"/>
      <c r="G31" s="674"/>
      <c r="H31" s="45"/>
      <c r="I31" s="412" t="s">
        <v>61</v>
      </c>
      <c r="J31" s="421" t="s">
        <v>62</v>
      </c>
      <c r="M31" s="82"/>
      <c r="N31" s="82"/>
      <c r="O31" s="82"/>
      <c r="P31" s="82"/>
    </row>
    <row r="32" spans="1:16" ht="20.100000000000001" customHeight="1">
      <c r="A32" s="50">
        <v>1</v>
      </c>
      <c r="B32" s="79" t="s">
        <v>122</v>
      </c>
      <c r="C32" s="66" t="s">
        <v>70</v>
      </c>
      <c r="D32" s="643"/>
      <c r="E32" s="643"/>
      <c r="F32" s="643"/>
      <c r="G32" s="643"/>
      <c r="H32" s="46" t="s">
        <v>98</v>
      </c>
      <c r="I32" s="134"/>
      <c r="J32" s="135"/>
      <c r="M32" s="82"/>
      <c r="N32" s="82"/>
      <c r="O32" s="82"/>
      <c r="P32" s="82"/>
    </row>
    <row r="33" spans="1:17" ht="20.100000000000001" customHeight="1">
      <c r="A33" s="50">
        <v>2</v>
      </c>
      <c r="B33" s="51" t="s">
        <v>123</v>
      </c>
      <c r="C33" s="66" t="s">
        <v>71</v>
      </c>
      <c r="D33" s="643"/>
      <c r="E33" s="643"/>
      <c r="F33" s="643"/>
      <c r="G33" s="643"/>
      <c r="H33" s="46" t="s">
        <v>99</v>
      </c>
      <c r="I33" s="134"/>
      <c r="J33" s="135"/>
      <c r="M33" s="670"/>
      <c r="N33" s="670"/>
      <c r="O33" s="670"/>
      <c r="P33" s="670"/>
    </row>
    <row r="34" spans="1:17" ht="20.100000000000001" customHeight="1">
      <c r="A34" s="50">
        <v>3</v>
      </c>
      <c r="B34" s="79" t="s">
        <v>124</v>
      </c>
      <c r="C34" s="66" t="s">
        <v>72</v>
      </c>
      <c r="D34" s="643"/>
      <c r="E34" s="643"/>
      <c r="F34" s="643"/>
      <c r="G34" s="643"/>
      <c r="H34" s="46" t="s">
        <v>100</v>
      </c>
      <c r="I34" s="134"/>
      <c r="J34" s="135"/>
      <c r="M34" s="670"/>
      <c r="N34" s="670"/>
      <c r="O34" s="670"/>
      <c r="P34" s="670"/>
    </row>
    <row r="35" spans="1:17" ht="20.100000000000001" customHeight="1" thickBot="1">
      <c r="A35" s="67">
        <v>4</v>
      </c>
      <c r="B35" s="68" t="s">
        <v>65</v>
      </c>
      <c r="C35" s="69" t="s">
        <v>121</v>
      </c>
      <c r="D35" s="671"/>
      <c r="E35" s="671"/>
      <c r="F35" s="671"/>
      <c r="G35" s="671"/>
      <c r="H35" s="68" t="s">
        <v>77</v>
      </c>
      <c r="I35" s="419"/>
      <c r="J35" s="70"/>
      <c r="K35" s="81"/>
      <c r="M35" s="670"/>
      <c r="N35" s="670"/>
      <c r="O35" s="670"/>
      <c r="P35" s="670"/>
    </row>
    <row r="36" spans="1:17" ht="39" thickTop="1">
      <c r="A36" s="49" t="s">
        <v>41</v>
      </c>
      <c r="B36" s="412" t="s">
        <v>89</v>
      </c>
      <c r="C36" s="412" t="s">
        <v>66</v>
      </c>
      <c r="D36" s="674" t="s">
        <v>97</v>
      </c>
      <c r="E36" s="674"/>
      <c r="F36" s="674"/>
      <c r="G36" s="674"/>
      <c r="H36" s="45"/>
      <c r="I36" s="412" t="s">
        <v>61</v>
      </c>
      <c r="J36" s="421" t="s">
        <v>62</v>
      </c>
      <c r="M36" s="82"/>
      <c r="N36" s="82"/>
      <c r="O36" s="82"/>
      <c r="P36" s="82"/>
      <c r="Q36" s="82"/>
    </row>
    <row r="37" spans="1:17" ht="20.100000000000001" customHeight="1">
      <c r="A37" s="50">
        <v>1</v>
      </c>
      <c r="B37" s="79" t="s">
        <v>122</v>
      </c>
      <c r="C37" s="66" t="s">
        <v>70</v>
      </c>
      <c r="D37" s="643"/>
      <c r="E37" s="643"/>
      <c r="F37" s="643"/>
      <c r="G37" s="643"/>
      <c r="H37" s="46" t="s">
        <v>98</v>
      </c>
      <c r="I37" s="134"/>
      <c r="J37" s="134"/>
      <c r="N37" s="670"/>
      <c r="O37" s="670"/>
      <c r="P37" s="670"/>
      <c r="Q37" s="670"/>
    </row>
    <row r="38" spans="1:17" ht="20.100000000000001" customHeight="1">
      <c r="A38" s="50">
        <v>2</v>
      </c>
      <c r="B38" s="51" t="s">
        <v>123</v>
      </c>
      <c r="C38" s="66" t="s">
        <v>71</v>
      </c>
      <c r="D38" s="643"/>
      <c r="E38" s="643"/>
      <c r="F38" s="643"/>
      <c r="G38" s="643"/>
      <c r="H38" s="46" t="s">
        <v>99</v>
      </c>
      <c r="I38" s="134"/>
      <c r="J38" s="134"/>
      <c r="N38" s="670"/>
      <c r="O38" s="670"/>
      <c r="P38" s="670"/>
      <c r="Q38" s="670"/>
    </row>
    <row r="39" spans="1:17" ht="20.100000000000001" customHeight="1">
      <c r="A39" s="50">
        <v>3</v>
      </c>
      <c r="B39" s="79" t="s">
        <v>124</v>
      </c>
      <c r="C39" s="66" t="s">
        <v>72</v>
      </c>
      <c r="D39" s="643"/>
      <c r="E39" s="643"/>
      <c r="F39" s="643"/>
      <c r="G39" s="643"/>
      <c r="H39" s="46" t="s">
        <v>100</v>
      </c>
      <c r="I39" s="134"/>
      <c r="J39" s="134"/>
      <c r="N39" s="670"/>
      <c r="O39" s="670"/>
      <c r="P39" s="670"/>
      <c r="Q39" s="670"/>
    </row>
    <row r="40" spans="1:17" ht="20.100000000000001" customHeight="1" thickBot="1">
      <c r="A40" s="67">
        <v>4</v>
      </c>
      <c r="B40" s="68" t="s">
        <v>65</v>
      </c>
      <c r="C40" s="69" t="s">
        <v>121</v>
      </c>
      <c r="D40" s="671"/>
      <c r="E40" s="671"/>
      <c r="F40" s="671"/>
      <c r="G40" s="671"/>
      <c r="H40" s="68" t="s">
        <v>77</v>
      </c>
      <c r="I40" s="419"/>
      <c r="J40" s="70"/>
      <c r="N40" s="82"/>
      <c r="O40" s="82"/>
      <c r="P40" s="82"/>
      <c r="Q40" s="82"/>
    </row>
    <row r="41" spans="1:17" ht="13.5" thickTop="1">
      <c r="A41" s="91"/>
      <c r="I41" s="82"/>
      <c r="J41" s="82"/>
    </row>
    <row r="42" spans="1:17" ht="13.5" thickBot="1">
      <c r="A42" s="91"/>
      <c r="I42" s="82"/>
      <c r="J42" s="82"/>
    </row>
    <row r="43" spans="1:17" ht="17.25" thickTop="1">
      <c r="A43" s="672" t="s">
        <v>125</v>
      </c>
      <c r="B43" s="673"/>
      <c r="C43" s="109" t="e">
        <f>FIXED((AVERAGE(C62:C63)),(2-1-INT(LOG10(ABS(J91)))))</f>
        <v>#DIV/0!</v>
      </c>
      <c r="D43" s="112" t="s">
        <v>39</v>
      </c>
      <c r="E43" s="109" t="e">
        <f>FIXED((AVERAGE(C62:C63)/3785.412),(2-1-INT(LOG10(ABS(J91/3785.412)))))</f>
        <v>#DIV/0!</v>
      </c>
      <c r="F43" s="111" t="s">
        <v>140</v>
      </c>
      <c r="G43" s="109" t="e">
        <f>FIXED((AVERAGE(C62:C63)/3785.412*231),(2-1-INT(LOG10(ABS(J91/3785.412*231)))))</f>
        <v>#DIV/0!</v>
      </c>
      <c r="H43" s="111" t="s">
        <v>141</v>
      </c>
      <c r="I43" s="82"/>
      <c r="J43" s="82"/>
    </row>
    <row r="44" spans="1:17" ht="17.25" thickBot="1">
      <c r="A44" s="646" t="s">
        <v>87</v>
      </c>
      <c r="B44" s="647"/>
      <c r="C44" s="110" t="e">
        <f>FIXED(J91,2-1-INT(LOG10(ABS(J91))))</f>
        <v>#NUM!</v>
      </c>
      <c r="D44" s="113" t="s">
        <v>39</v>
      </c>
      <c r="E44" s="110" t="e">
        <f>FIXED(J91/3785.412,2-1-INT(LOG10(ABS(J91/3785.412))))</f>
        <v>#NUM!</v>
      </c>
      <c r="F44" s="114" t="s">
        <v>140</v>
      </c>
      <c r="G44" s="110" t="e">
        <f>FIXED(J91/3785.412*231,2-1-INT(LOG10(ABS(J91/3785.412*231))))</f>
        <v>#NUM!</v>
      </c>
      <c r="H44" s="114" t="s">
        <v>141</v>
      </c>
    </row>
    <row r="45" spans="1:17" ht="13.5" thickTop="1">
      <c r="A45" s="91"/>
      <c r="I45" s="82"/>
      <c r="J45" s="82"/>
    </row>
    <row r="46" spans="1:17" ht="13.5" thickBot="1">
      <c r="A46" s="648" t="s">
        <v>78</v>
      </c>
      <c r="B46" s="648"/>
      <c r="C46" s="648"/>
      <c r="D46" s="648"/>
      <c r="E46" s="648"/>
      <c r="F46" s="648"/>
      <c r="I46" s="82"/>
      <c r="J46" s="82"/>
    </row>
    <row r="47" spans="1:17" ht="16.5" thickTop="1">
      <c r="A47" s="626" t="s">
        <v>0</v>
      </c>
      <c r="B47" s="627"/>
      <c r="C47" s="649"/>
      <c r="D47" s="650" t="s">
        <v>56</v>
      </c>
      <c r="E47" s="651"/>
      <c r="F47" s="652"/>
      <c r="I47" s="56"/>
      <c r="J47" s="57"/>
    </row>
    <row r="48" spans="1:17" ht="18.75">
      <c r="A48" s="53" t="s">
        <v>104</v>
      </c>
      <c r="B48" s="54"/>
      <c r="C48" s="63" t="e">
        <f>(ROUND(((((D10*(133.322368421053))*(0.02896546))/((1-(((D10*133.322368421053)/(D9+273.15))*((0.00000158123)+((-0.000000029331)*(D9))+(0.00000000011043*D9^2)+(((0.000005707)+(-0.00000002051*D9))*((D11/100)*((1.00062+0.0000000314*(D10*133.322368421053)+0.00000056*D9^2)*((EXP(0.000012378847*(D9+273.15)^2+(-0.019121316*(D9+273.15))+33.93711047+(-6343.1645/(D9+273.15))))/(D10*133.322368421053)))))+((0.00019898+(-0.000002376*D9))*(((D11/100)*((1.00062+0.0000000314*(D10*133.322368421053)+0.00000056*D9^2)*((EXP(0.000012378847*(D9+273.15)^2+(-0.019121316)*(D9+273.15)+33.93711047+(-6343.1645)/(D9+273.15)))/(D10*133.322368421053))))^2))))+(((D10*133.322368421053)^2/((D9+273.15)^2)*(0.0000000000183+(-0.00000000765*(((D11/100)*((1.00062+0.0000000314*(D10*133.322368421053)+0.00000056*D9^2)*((EXP(0.000012378847*(D9+273.15)^2+(-0.019121316)*(D9+273.15)+33.93711047+(-6343.1645)/(D9+273.15)))/(D10*133.322368421053))))^2))))))*(8.314472)*(D9+273.15)))*(1-((0.378*((D11/100)*((1.00062+0.0000000314*(D10*133.322368421053)+0.00000056*D9^2)*((EXP(0.000012378847*(D9+273.15)^2+(-0.019121316)*(D9+273.15)+33.93711047+(-6343.1645)/(D9+273.15)))/(D10*133.322368421053)))))))),9))/1000</f>
        <v>#DIV/0!</v>
      </c>
      <c r="D48" s="641" t="s">
        <v>88</v>
      </c>
      <c r="E48" s="641"/>
      <c r="F48" s="642"/>
      <c r="I48" s="55"/>
      <c r="J48" s="55"/>
    </row>
    <row r="49" spans="1:19" ht="17.25" customHeight="1">
      <c r="A49" s="53" t="s">
        <v>105</v>
      </c>
      <c r="B49" s="54"/>
      <c r="C49" s="63" t="e">
        <f>(ROUND(((((E10*(133.322368421053))*(0.02896546))/((1-(((E10*133.322368421053)/(E9+273.15))*((0.00000158123)+((-0.000000029331)*(E9))+(0.00000000011043*E9^2)+(((0.000005707)+(-0.00000002051*E9))*((E11/100)*((1.00062+0.0000000314*(E10*133.322368421053)+0.00000056*E9^2)*((EXP(0.000012378847*(E9+273.15)^2+(-0.019121316*(E9+273.15))+33.93711047+(-6343.1645/(E9+273.15))))/(E10*133.322368421053)))))+((0.00019898+(-0.000002376*E9))*(((E11/100)*((1.00062+0.0000000314*(E10*133.322368421053)+0.00000056*E9^2)*((EXP(0.000012378847*(E9+273.15)^2+(-0.019121316)*(E9+273.15)+33.93711047+(-6343.1645)/(E9+273.15)))/(E10*133.322368421053))))^2))))+(((E10*133.322368421053)^2/((E9+273.15)^2)*(0.0000000000183+(-0.00000000765*(((E11/100)*((1.00062+0.0000000314*(E10*133.322368421053)+0.00000056*E9^2)*((EXP(0.000012378847*(E9+273.15)^2+(-0.019121316)*(E9+273.15)+33.93711047+(-6343.1645)/(E9+273.15)))/(E10*133.322368421053))))^2))))))*(8.314472)*(E9+273.15)))*(1-((0.378*((E11/100)*((1.00062+0.0000000314*(E10*133.322368421053)+0.00000056*E9^2)*((EXP(0.000012378847*(E9+273.15)^2+(-0.019121316)*(E9+273.15)+33.93711047+(-6343.1645)/(E9+273.15)))/(E10*133.322368421053)))))))),9))/1000</f>
        <v>#DIV/0!</v>
      </c>
      <c r="D49" s="641" t="s">
        <v>88</v>
      </c>
      <c r="E49" s="641"/>
      <c r="F49" s="642"/>
      <c r="H49" s="115"/>
      <c r="I49" s="55"/>
      <c r="J49" s="55"/>
    </row>
    <row r="50" spans="1:19" ht="12.75">
      <c r="A50" s="660"/>
      <c r="B50" s="661"/>
      <c r="C50" s="661"/>
      <c r="D50" s="661"/>
      <c r="E50" s="661"/>
      <c r="F50" s="662"/>
      <c r="H50" s="82"/>
      <c r="I50" s="82"/>
      <c r="J50" s="82"/>
    </row>
    <row r="51" spans="1:19" ht="12.75">
      <c r="A51" s="655" t="s">
        <v>1</v>
      </c>
      <c r="B51" s="656"/>
      <c r="C51" s="657"/>
      <c r="D51" s="663" t="s">
        <v>54</v>
      </c>
      <c r="E51" s="641"/>
      <c r="F51" s="642"/>
      <c r="H51" s="82"/>
      <c r="I51" s="82"/>
      <c r="J51" s="82"/>
    </row>
    <row r="52" spans="1:19" ht="18">
      <c r="A52" s="53" t="s">
        <v>67</v>
      </c>
      <c r="B52" s="42"/>
      <c r="C52" s="92">
        <f>ROUND(((999.97495*(1-(((I35-3.983035)^2*(I35+301.797))/(522528.9*(I35+69.34881)))))/1000)+(-4.612+0.106*I35)/1000000,8)</f>
        <v>0.99983820999999995</v>
      </c>
      <c r="D52" s="641" t="s">
        <v>91</v>
      </c>
      <c r="E52" s="641"/>
      <c r="F52" s="642"/>
      <c r="H52" s="93"/>
      <c r="I52" s="82"/>
      <c r="J52" s="82"/>
    </row>
    <row r="53" spans="1:19" ht="18">
      <c r="A53" s="53" t="s">
        <v>69</v>
      </c>
      <c r="B53" s="42"/>
      <c r="C53" s="94">
        <f>ROUND(((999.97495*(1-(((I40-3.983035)^2*(I40+301.797))/(522528.9*(I40+69.34881)))))/1000)+(-4.612+0.106*I40)/1000000,8)</f>
        <v>0.99983820999999995</v>
      </c>
      <c r="D53" s="641" t="s">
        <v>91</v>
      </c>
      <c r="E53" s="641"/>
      <c r="F53" s="642"/>
      <c r="H53" s="95"/>
      <c r="I53" s="82"/>
      <c r="J53" s="82"/>
    </row>
    <row r="54" spans="1:19" ht="12.75">
      <c r="A54" s="655" t="s">
        <v>2</v>
      </c>
      <c r="B54" s="656"/>
      <c r="C54" s="657"/>
      <c r="D54" s="663" t="s">
        <v>53</v>
      </c>
      <c r="E54" s="641"/>
      <c r="F54" s="642"/>
      <c r="H54" s="96"/>
      <c r="I54" s="96"/>
      <c r="J54" s="82"/>
    </row>
    <row r="55" spans="1:19" ht="12.75">
      <c r="A55" s="53" t="s">
        <v>42</v>
      </c>
      <c r="B55" s="42"/>
      <c r="C55" s="62">
        <f>ROUND(1-$B$7*1.8*(I35-(($D$7-32)*5/9)),6)</f>
        <v>1</v>
      </c>
      <c r="D55" s="664" t="s">
        <v>135</v>
      </c>
      <c r="E55" s="641"/>
      <c r="F55" s="642"/>
      <c r="H55" s="96"/>
      <c r="I55" s="96"/>
      <c r="J55" s="82"/>
    </row>
    <row r="56" spans="1:19" ht="12.75">
      <c r="A56" s="53" t="s">
        <v>43</v>
      </c>
      <c r="B56" s="42"/>
      <c r="C56" s="62">
        <f>ROUND(1-$B$7*1.8*(I40-(($D$7-32)*5/9)),6)</f>
        <v>1</v>
      </c>
      <c r="D56" s="664" t="s">
        <v>135</v>
      </c>
      <c r="E56" s="641"/>
      <c r="F56" s="642"/>
      <c r="H56" s="96"/>
      <c r="I56" s="97"/>
      <c r="J56" s="82"/>
    </row>
    <row r="57" spans="1:19" ht="26.25" customHeight="1">
      <c r="A57" s="655" t="s">
        <v>83</v>
      </c>
      <c r="B57" s="656"/>
      <c r="C57" s="657"/>
      <c r="D57" s="665"/>
      <c r="E57" s="666"/>
      <c r="F57" s="667"/>
      <c r="G57" s="617"/>
      <c r="H57" s="618"/>
      <c r="I57" s="96"/>
      <c r="J57" s="82"/>
    </row>
    <row r="58" spans="1:19" ht="12.75">
      <c r="A58" s="53" t="s">
        <v>84</v>
      </c>
      <c r="B58" s="42"/>
      <c r="C58" s="116" t="e">
        <f>(((D35/D34)*(B28+C28)*(1-C48/G28))-((D33/D32)*(B20+C20)*(1-C48/G20)))*(1/(C52-C48))</f>
        <v>#DIV/0!</v>
      </c>
      <c r="D58" s="414" t="s">
        <v>39</v>
      </c>
      <c r="E58" s="415"/>
      <c r="F58" s="416"/>
      <c r="H58" s="96"/>
      <c r="I58" s="98"/>
      <c r="J58" s="82"/>
    </row>
    <row r="59" spans="1:19" ht="12.75">
      <c r="A59" s="53" t="s">
        <v>85</v>
      </c>
      <c r="B59" s="42"/>
      <c r="C59" s="61" t="e">
        <f>((D40/D39)*(B28+C28)*(1-C49/G28)-(D38/D37)*(B20+C20)*(1-C49/G20))*(1/(C53-C49))</f>
        <v>#DIV/0!</v>
      </c>
      <c r="D59" s="414" t="s">
        <v>39</v>
      </c>
      <c r="E59" s="415"/>
      <c r="F59" s="416"/>
      <c r="H59" s="96"/>
      <c r="I59" s="96"/>
      <c r="J59" s="82"/>
    </row>
    <row r="60" spans="1:19" ht="12.75">
      <c r="A60" s="87"/>
      <c r="B60" s="413"/>
      <c r="C60" s="80"/>
      <c r="D60" s="414"/>
      <c r="E60" s="415"/>
      <c r="F60" s="416"/>
      <c r="H60" s="96"/>
      <c r="I60" s="96"/>
      <c r="J60" s="82"/>
    </row>
    <row r="61" spans="1:19" ht="12.75">
      <c r="A61" s="655" t="s">
        <v>137</v>
      </c>
      <c r="B61" s="656"/>
      <c r="C61" s="657"/>
      <c r="D61" s="414"/>
      <c r="E61" s="415"/>
      <c r="F61" s="416"/>
      <c r="H61" s="96"/>
      <c r="I61" s="96"/>
      <c r="J61" s="82"/>
      <c r="N61" s="515"/>
      <c r="O61" s="515"/>
      <c r="P61" s="515"/>
      <c r="Q61" s="515"/>
      <c r="R61" s="515"/>
      <c r="S61" s="515"/>
    </row>
    <row r="62" spans="1:19" ht="14.25">
      <c r="A62" s="668" t="s">
        <v>133</v>
      </c>
      <c r="B62" s="669"/>
      <c r="C62" s="61" t="e">
        <f>C58*C55</f>
        <v>#DIV/0!</v>
      </c>
      <c r="D62" s="417" t="s">
        <v>117</v>
      </c>
      <c r="E62" s="415"/>
      <c r="F62" s="416"/>
      <c r="H62" s="96"/>
      <c r="I62" s="96"/>
      <c r="J62" s="82"/>
      <c r="N62" s="515"/>
      <c r="O62" s="515"/>
      <c r="P62" s="515"/>
      <c r="Q62" s="515"/>
      <c r="R62" s="515"/>
      <c r="S62" s="515"/>
    </row>
    <row r="63" spans="1:19" ht="15" thickBot="1">
      <c r="A63" s="624" t="s">
        <v>134</v>
      </c>
      <c r="B63" s="625"/>
      <c r="C63" s="76" t="e">
        <f>C59*C56</f>
        <v>#DIV/0!</v>
      </c>
      <c r="D63" s="77" t="s">
        <v>118</v>
      </c>
      <c r="E63" s="74"/>
      <c r="F63" s="75"/>
      <c r="G63" s="119"/>
      <c r="H63" s="96"/>
      <c r="I63" s="96"/>
      <c r="J63" s="82"/>
      <c r="N63" s="515"/>
      <c r="O63" s="515"/>
      <c r="P63" s="515"/>
      <c r="Q63" s="515"/>
      <c r="R63" s="515"/>
      <c r="S63" s="515"/>
    </row>
    <row r="64" spans="1:19" ht="13.5" thickTop="1">
      <c r="A64" s="626" t="s">
        <v>113</v>
      </c>
      <c r="B64" s="627"/>
      <c r="C64" s="628"/>
      <c r="D64" s="629"/>
      <c r="E64" s="630"/>
      <c r="F64" s="631"/>
      <c r="G64" s="119"/>
      <c r="H64" s="96"/>
      <c r="I64" s="96"/>
      <c r="J64" s="82"/>
      <c r="N64" s="515"/>
      <c r="O64" s="515"/>
      <c r="P64" s="515"/>
      <c r="Q64" s="515"/>
      <c r="R64" s="515"/>
      <c r="S64" s="515"/>
    </row>
    <row r="65" spans="1:19" ht="15.75">
      <c r="A65" s="78" t="s">
        <v>116</v>
      </c>
      <c r="B65" s="42"/>
      <c r="C65" s="59" t="e">
        <f>STDEV(C62:C63)</f>
        <v>#DIV/0!</v>
      </c>
      <c r="D65" s="632" t="s">
        <v>119</v>
      </c>
      <c r="E65" s="633"/>
      <c r="F65" s="634"/>
      <c r="G65" s="119"/>
      <c r="H65" s="118"/>
      <c r="I65" s="96"/>
      <c r="J65" s="82"/>
      <c r="N65" s="515"/>
      <c r="O65" s="515"/>
      <c r="P65" s="515"/>
      <c r="Q65" s="515"/>
      <c r="R65" s="515"/>
      <c r="S65" s="515"/>
    </row>
    <row r="66" spans="1:19" ht="12.75">
      <c r="A66" s="99" t="s">
        <v>136</v>
      </c>
      <c r="B66" s="100"/>
      <c r="C66" s="101">
        <f>B11</f>
        <v>0</v>
      </c>
      <c r="D66" s="619" t="str">
        <f>IF(C66=0,"Incomplete",IF(C65&lt;(C66*3),"Difference is less than Control Limits, Pass", "Fail"))</f>
        <v>Incomplete</v>
      </c>
      <c r="E66" s="619"/>
      <c r="F66" s="620"/>
      <c r="G66" s="119"/>
      <c r="H66" s="118"/>
      <c r="I66" s="82"/>
      <c r="J66" s="82"/>
      <c r="N66" s="515"/>
      <c r="O66" s="515"/>
      <c r="P66" s="515"/>
      <c r="Q66" s="515"/>
      <c r="R66" s="515"/>
      <c r="S66" s="515"/>
    </row>
    <row r="67" spans="1:19" ht="13.5" thickBot="1">
      <c r="A67" s="102"/>
      <c r="B67" s="103"/>
      <c r="C67" s="103"/>
      <c r="D67" s="621"/>
      <c r="E67" s="622"/>
      <c r="F67" s="623"/>
      <c r="G67" s="119"/>
      <c r="H67" s="82"/>
      <c r="I67" s="82"/>
      <c r="J67" s="82"/>
      <c r="N67" s="515"/>
      <c r="O67" s="515"/>
      <c r="P67" s="515"/>
      <c r="Q67" s="515"/>
      <c r="R67" s="515"/>
      <c r="S67" s="515"/>
    </row>
    <row r="68" spans="1:19" ht="14.25" thickTop="1" thickBot="1">
      <c r="G68" s="119"/>
      <c r="H68" s="82"/>
      <c r="I68" s="119"/>
      <c r="N68" s="515"/>
      <c r="O68" s="515"/>
      <c r="P68" s="515"/>
      <c r="Q68" s="515"/>
      <c r="R68" s="515"/>
      <c r="S68" s="515"/>
    </row>
    <row r="69" spans="1:19" ht="14.25" thickTop="1" thickBot="1">
      <c r="A69" s="516" t="s">
        <v>463</v>
      </c>
      <c r="B69" s="505" t="s">
        <v>39</v>
      </c>
      <c r="C69" s="517"/>
      <c r="D69" s="517"/>
      <c r="E69" s="612" t="s">
        <v>465</v>
      </c>
      <c r="F69" s="613"/>
      <c r="G69" s="614"/>
      <c r="H69" s="615"/>
      <c r="I69" s="615"/>
      <c r="J69" s="615"/>
      <c r="K69" s="616"/>
      <c r="L69" s="517"/>
      <c r="M69" s="515"/>
      <c r="N69" s="515"/>
      <c r="O69" s="515"/>
      <c r="P69" s="515"/>
      <c r="Q69" s="515"/>
      <c r="R69" s="515"/>
      <c r="S69" s="515"/>
    </row>
    <row r="70" spans="1:19" ht="16.5" thickTop="1" thickBot="1">
      <c r="A70" s="658" t="s">
        <v>466</v>
      </c>
      <c r="B70" s="658"/>
      <c r="C70" s="658"/>
      <c r="D70" s="658"/>
      <c r="E70" s="658"/>
      <c r="F70" s="658"/>
      <c r="G70" s="518"/>
      <c r="H70" s="659" t="s">
        <v>467</v>
      </c>
      <c r="I70" s="659"/>
      <c r="J70" s="659"/>
      <c r="K70" s="659"/>
      <c r="L70" s="517"/>
      <c r="M70" s="519"/>
      <c r="N70" s="515"/>
      <c r="O70" s="515"/>
      <c r="P70" s="515"/>
      <c r="Q70" s="515"/>
      <c r="R70" s="515"/>
      <c r="S70" s="515"/>
    </row>
    <row r="71" spans="1:19" ht="53.25" customHeight="1" thickTop="1" thickBot="1">
      <c r="A71" s="520" t="s">
        <v>468</v>
      </c>
      <c r="B71" s="521" t="s">
        <v>469</v>
      </c>
      <c r="C71" s="521" t="s">
        <v>470</v>
      </c>
      <c r="D71" s="521" t="s">
        <v>148</v>
      </c>
      <c r="E71" s="522" t="s">
        <v>471</v>
      </c>
      <c r="F71" s="521" t="s">
        <v>472</v>
      </c>
      <c r="G71" s="521" t="s">
        <v>473</v>
      </c>
      <c r="H71" s="521" t="s">
        <v>474</v>
      </c>
      <c r="I71" s="521" t="s">
        <v>234</v>
      </c>
      <c r="J71" s="521" t="s">
        <v>475</v>
      </c>
      <c r="K71" s="521" t="s">
        <v>476</v>
      </c>
      <c r="L71" s="523" t="s">
        <v>477</v>
      </c>
      <c r="M71" s="524" t="s">
        <v>478</v>
      </c>
      <c r="N71" s="515"/>
      <c r="O71" s="515"/>
      <c r="P71" s="515"/>
      <c r="Q71" s="515"/>
      <c r="R71" s="515"/>
      <c r="S71" s="515"/>
    </row>
    <row r="72" spans="1:19" ht="15.75" thickTop="1">
      <c r="A72" s="535" t="s">
        <v>45</v>
      </c>
      <c r="B72" s="549" t="s">
        <v>507</v>
      </c>
      <c r="C72" s="500">
        <f>(F28^2+F20^2)^0.5</f>
        <v>0</v>
      </c>
      <c r="D72" s="539" t="s">
        <v>44</v>
      </c>
      <c r="E72" s="487">
        <v>100</v>
      </c>
      <c r="F72" s="500">
        <f>C72/C52</f>
        <v>0</v>
      </c>
      <c r="G72" s="501" t="s">
        <v>26</v>
      </c>
      <c r="H72" s="476" t="s">
        <v>236</v>
      </c>
      <c r="I72" s="481" t="str">
        <f>IF(A72="","",IF(F72="","Finish",IF(H72="","",VLOOKUP(H72,'Lookup Tables'!C6:D13,2,))))</f>
        <v>Finish</v>
      </c>
      <c r="J72" s="495" t="str">
        <f t="shared" ref="J72:J85" si="0">IF(A72="","",IF(F72="","Finish",IF(I72="","",F72/I72)))</f>
        <v>Finish</v>
      </c>
      <c r="K72" s="482" t="str">
        <f t="shared" ref="K72:K82" si="1">IF(J72="","",IF(J72="Finish","Finish",J72^2/SUMSQ($J$72:$J$85)))</f>
        <v>Finish</v>
      </c>
      <c r="L72" s="489"/>
      <c r="M72" s="525">
        <f>IF(J72="","",J72^4/E72)</f>
        <v>0</v>
      </c>
      <c r="N72" s="515"/>
      <c r="O72" s="515"/>
      <c r="P72" s="515"/>
      <c r="Q72" s="515"/>
      <c r="R72" s="515"/>
      <c r="S72" s="515"/>
    </row>
    <row r="73" spans="1:19" ht="18.75" customHeight="1">
      <c r="A73" s="536" t="s">
        <v>120</v>
      </c>
      <c r="B73" s="550" t="s">
        <v>508</v>
      </c>
      <c r="C73" s="506"/>
      <c r="D73" s="541" t="s">
        <v>464</v>
      </c>
      <c r="E73" s="487">
        <v>20</v>
      </c>
      <c r="F73" s="502">
        <f>C73*16.387064</f>
        <v>0</v>
      </c>
      <c r="G73" s="501" t="s">
        <v>27</v>
      </c>
      <c r="H73" s="476" t="s">
        <v>247</v>
      </c>
      <c r="I73" s="481" t="str">
        <f>IF(A73="","",IF(F73="","Finish",IF(H73="","",VLOOKUP(H73,'Lookup Tables'!C6:D13,2,))))</f>
        <v>Finish</v>
      </c>
      <c r="J73" s="495" t="str">
        <f t="shared" si="0"/>
        <v>Finish</v>
      </c>
      <c r="K73" s="482" t="str">
        <f t="shared" si="1"/>
        <v>Finish</v>
      </c>
      <c r="L73" s="490"/>
      <c r="M73" s="526">
        <f>IF(J73="","",J73^4/E73)</f>
        <v>0</v>
      </c>
      <c r="N73" s="515"/>
      <c r="O73" s="515"/>
      <c r="P73" s="515"/>
      <c r="Q73" s="515"/>
      <c r="R73" s="515"/>
      <c r="S73" s="515"/>
    </row>
    <row r="74" spans="1:19" ht="15">
      <c r="A74" s="536" t="s">
        <v>96</v>
      </c>
      <c r="B74" s="550" t="s">
        <v>509</v>
      </c>
      <c r="C74" s="497">
        <f>B11</f>
        <v>0</v>
      </c>
      <c r="D74" s="540" t="s">
        <v>39</v>
      </c>
      <c r="E74" s="562">
        <f>B12</f>
        <v>0</v>
      </c>
      <c r="F74" s="502">
        <f>C74</f>
        <v>0</v>
      </c>
      <c r="G74" s="501" t="s">
        <v>27</v>
      </c>
      <c r="H74" s="476" t="s">
        <v>236</v>
      </c>
      <c r="I74" s="481" t="str">
        <f>IF(A74="","",IF(F74="","Finish",IF(H74="","",VLOOKUP(H74,'Lookup Tables'!C6:D13,2,))))</f>
        <v>Finish</v>
      </c>
      <c r="J74" s="495" t="str">
        <f t="shared" si="0"/>
        <v>Finish</v>
      </c>
      <c r="K74" s="482" t="str">
        <f t="shared" si="1"/>
        <v>Finish</v>
      </c>
      <c r="L74" s="490"/>
      <c r="M74" s="526" t="e">
        <f t="shared" ref="M74:M85" si="2">IF(J74="","",J74^4/E74)</f>
        <v>#DIV/0!</v>
      </c>
      <c r="N74" s="515"/>
      <c r="O74" s="515"/>
      <c r="P74" s="515"/>
      <c r="Q74" s="515"/>
      <c r="R74" s="515"/>
      <c r="S74" s="515"/>
    </row>
    <row r="75" spans="1:19" ht="15">
      <c r="A75" s="536" t="s">
        <v>47</v>
      </c>
      <c r="B75" s="550" t="s">
        <v>510</v>
      </c>
      <c r="C75" s="498">
        <f>F12</f>
        <v>0</v>
      </c>
      <c r="D75" s="540" t="s">
        <v>12</v>
      </c>
      <c r="E75" s="487">
        <v>100</v>
      </c>
      <c r="F75" s="503" t="e">
        <f>(C58*C55)-(C58*N78)+(D35/D34)*(B28+C28)/D33*(1-C48/G28)*(1/(C52-C48))-(D35/D34)*(B28+C28)/D33*(1-C48/G28)*(1/(O78-C48))</f>
        <v>#DIV/0!</v>
      </c>
      <c r="G75" s="501" t="s">
        <v>27</v>
      </c>
      <c r="H75" s="476" t="s">
        <v>52</v>
      </c>
      <c r="I75" s="481" t="e">
        <f>IF(A75="","",IF(F75="","Finish",IF(H75="","",VLOOKUP(H75,'Lookup Tables'!C6:D13,2,))))</f>
        <v>#DIV/0!</v>
      </c>
      <c r="J75" s="495" t="e">
        <f t="shared" si="0"/>
        <v>#DIV/0!</v>
      </c>
      <c r="K75" s="482" t="e">
        <f t="shared" si="1"/>
        <v>#DIV/0!</v>
      </c>
      <c r="L75" s="490"/>
      <c r="M75" s="526" t="e">
        <f t="shared" si="2"/>
        <v>#DIV/0!</v>
      </c>
      <c r="N75" s="515"/>
      <c r="O75" s="515"/>
      <c r="P75" s="515"/>
      <c r="Q75" s="515"/>
      <c r="R75" s="515"/>
      <c r="S75" s="515"/>
    </row>
    <row r="76" spans="1:19" ht="15.75" thickBot="1">
      <c r="A76" s="536" t="s">
        <v>55</v>
      </c>
      <c r="B76" s="550" t="s">
        <v>511</v>
      </c>
      <c r="C76" s="499"/>
      <c r="D76" s="540" t="s">
        <v>86</v>
      </c>
      <c r="E76" s="487">
        <v>100</v>
      </c>
      <c r="F76" s="503" t="e">
        <f>(C58*C55)-(C58*N79)</f>
        <v>#DIV/0!</v>
      </c>
      <c r="G76" s="501" t="s">
        <v>27</v>
      </c>
      <c r="H76" s="476" t="s">
        <v>52</v>
      </c>
      <c r="I76" s="481" t="e">
        <f>IF(A76="","",IF(F76="","Finish",IF(H76="","",VLOOKUP(H76,'Lookup Tables'!C6:D13,2,))))</f>
        <v>#DIV/0!</v>
      </c>
      <c r="J76" s="495" t="e">
        <f t="shared" si="0"/>
        <v>#DIV/0!</v>
      </c>
      <c r="K76" s="482" t="e">
        <f t="shared" si="1"/>
        <v>#DIV/0!</v>
      </c>
      <c r="L76" s="490"/>
      <c r="M76" s="526" t="e">
        <f t="shared" si="2"/>
        <v>#DIV/0!</v>
      </c>
      <c r="N76" s="515"/>
      <c r="O76" s="515"/>
      <c r="P76" s="515"/>
      <c r="Q76" s="515"/>
      <c r="R76" s="515"/>
      <c r="S76" s="515"/>
    </row>
    <row r="77" spans="1:19" ht="16.5" thickTop="1" thickBot="1">
      <c r="A77" s="536" t="s">
        <v>24</v>
      </c>
      <c r="B77" s="550" t="s">
        <v>512</v>
      </c>
      <c r="C77" s="499"/>
      <c r="D77" s="540" t="s">
        <v>149</v>
      </c>
      <c r="E77" s="487">
        <v>100</v>
      </c>
      <c r="F77" s="504" t="e">
        <f>(($D$35/$D$34)*($B$28+$C$28)*(1-$C$48/$G$28)-($D$33/$D$32)*($B$20+$C$20)*(1-$C$48/$G$20))*(1/($C$52-$C$48))-(($D$35/$D$34)*($B$28+$C$28)*(1-$C$48/$G$28)-($D$33/$D$32)*($B$20+$C$20)*(1-$C$48/$G$20))*(1/($N$80-$C$48))</f>
        <v>#DIV/0!</v>
      </c>
      <c r="G77" s="501" t="s">
        <v>27</v>
      </c>
      <c r="H77" s="476" t="s">
        <v>52</v>
      </c>
      <c r="I77" s="481" t="e">
        <f>IF(A77="","",IF(F77="","Finish",IF(H77="","",VLOOKUP(H77,'Lookup Tables'!C6:D13,2,))))</f>
        <v>#DIV/0!</v>
      </c>
      <c r="J77" s="495" t="e">
        <f t="shared" si="0"/>
        <v>#DIV/0!</v>
      </c>
      <c r="K77" s="482" t="e">
        <f t="shared" si="1"/>
        <v>#DIV/0!</v>
      </c>
      <c r="L77" s="490"/>
      <c r="M77" s="526" t="e">
        <f t="shared" si="2"/>
        <v>#DIV/0!</v>
      </c>
      <c r="N77" s="653" t="s">
        <v>95</v>
      </c>
      <c r="O77" s="654"/>
    </row>
    <row r="78" spans="1:19" ht="15.75" thickTop="1">
      <c r="A78" s="536" t="s">
        <v>101</v>
      </c>
      <c r="B78" s="550" t="s">
        <v>513</v>
      </c>
      <c r="C78" s="498">
        <f>F9</f>
        <v>0</v>
      </c>
      <c r="D78" s="540" t="s">
        <v>12</v>
      </c>
      <c r="E78" s="487">
        <v>100</v>
      </c>
      <c r="F78" s="504" t="e">
        <f>(($D$35/$D$34)*($B$28+$C$28)*(1-C48/$G$28)-($D$33/$D$32)*($B$20+$C$20)*(1-C48/$G$20))*(1/($C$52-$N$81))-(($D$35/$D$34)*($B$28+$C$28)*(1-$N$81/$G$28)-($D$33/$D$32)*($B$20+$C$20)*(1-$N$81/$G$20))*(1/($C$52-$N$81))</f>
        <v>#DIV/0!</v>
      </c>
      <c r="G78" s="501" t="s">
        <v>27</v>
      </c>
      <c r="H78" s="476" t="s">
        <v>52</v>
      </c>
      <c r="I78" s="481" t="e">
        <f>IF(A78="","",IF(F78="","Finish",IF(H78="","",VLOOKUP(H78,'Lookup Tables'!C6:D13,2,))))</f>
        <v>#DIV/0!</v>
      </c>
      <c r="J78" s="495" t="e">
        <f t="shared" si="0"/>
        <v>#DIV/0!</v>
      </c>
      <c r="K78" s="482" t="e">
        <f t="shared" si="1"/>
        <v>#DIV/0!</v>
      </c>
      <c r="L78" s="490"/>
      <c r="M78" s="526" t="e">
        <f t="shared" si="2"/>
        <v>#DIV/0!</v>
      </c>
      <c r="N78" s="466">
        <f>ROUND((1-B7*1.8*((I35+C75)-(D7-32)*5/9)),6)</f>
        <v>1</v>
      </c>
      <c r="O78" s="467">
        <f>ROUND(((999.97495*(1-(((I35+C75-3.983035)^2*(I35+C75+301.797))/(522528.9*(I35+C75+69.34881)))))/1000)+(-4.612+0.106*I35+C75)/1000000,8)</f>
        <v>0.99983820999999995</v>
      </c>
    </row>
    <row r="79" spans="1:19" ht="15">
      <c r="A79" s="536" t="s">
        <v>48</v>
      </c>
      <c r="B79" s="550" t="s">
        <v>514</v>
      </c>
      <c r="C79" s="498">
        <f>F10</f>
        <v>0</v>
      </c>
      <c r="D79" s="540" t="s">
        <v>9</v>
      </c>
      <c r="E79" s="487">
        <v>100</v>
      </c>
      <c r="F79" s="504" t="e">
        <f>(($D$35/$D$34)*($B$28+$C$28)*(1-C48/$G$28)-($D$33/$D$32)*($B$20+$C$20)*(1-C48/$G$20))*(1/($C$52-$N$82))-(($D$35/$D$34)*($B$28+$C$28)*(1-$N$82/$G$28)-($D$33/$D$32)*($B$20+$C$20)*(1-$N$82/$G$20))*(1/($C$52-$N$82))</f>
        <v>#DIV/0!</v>
      </c>
      <c r="G79" s="501" t="s">
        <v>27</v>
      </c>
      <c r="H79" s="476" t="s">
        <v>52</v>
      </c>
      <c r="I79" s="481" t="e">
        <f>IF(A79="","",IF(F79="","Finish",IF(H79="","",VLOOKUP(H79,'Lookup Tables'!C6:D13,2,))))</f>
        <v>#DIV/0!</v>
      </c>
      <c r="J79" s="495" t="e">
        <f t="shared" si="0"/>
        <v>#DIV/0!</v>
      </c>
      <c r="K79" s="482" t="e">
        <f t="shared" si="1"/>
        <v>#DIV/0!</v>
      </c>
      <c r="L79" s="490"/>
      <c r="M79" s="526" t="e">
        <f t="shared" si="2"/>
        <v>#DIV/0!</v>
      </c>
      <c r="N79" s="104">
        <f>ROUND(1-((B7*1.8+C76)*(I35-((D7-32)*5/9))),6)</f>
        <v>1</v>
      </c>
      <c r="O79" s="459"/>
    </row>
    <row r="80" spans="1:19" ht="15">
      <c r="A80" s="536" t="s">
        <v>49</v>
      </c>
      <c r="B80" s="550" t="s">
        <v>515</v>
      </c>
      <c r="C80" s="498">
        <f>F11</f>
        <v>0</v>
      </c>
      <c r="D80" s="540" t="s">
        <v>15</v>
      </c>
      <c r="E80" s="487">
        <v>100</v>
      </c>
      <c r="F80" s="504" t="e">
        <f>(($D$35/$D$34)*($B$28+$C$28)*(1-C48/$G$28)-($D$33/$D$32)*($B$20+$C$20)*(1-C48/$G$20))*(1/($C$52-$N$83))-(($D$35/$D$34)*($B$28+$C$28)*(1-$N$83/$G$28)-($D$33/$D$32)*($B$20+$C$20)*(1-$N$83/$G$20))*(1/($C$52-$N$83))</f>
        <v>#DIV/0!</v>
      </c>
      <c r="G80" s="501" t="s">
        <v>27</v>
      </c>
      <c r="H80" s="476" t="s">
        <v>236</v>
      </c>
      <c r="I80" s="481" t="e">
        <f>IF(A80="","",IF(F80="","Finish",IF(H80="","",VLOOKUP(H80,'Lookup Tables'!C6:D13,2,))))</f>
        <v>#DIV/0!</v>
      </c>
      <c r="J80" s="495" t="e">
        <f t="shared" si="0"/>
        <v>#DIV/0!</v>
      </c>
      <c r="K80" s="482" t="e">
        <f t="shared" si="1"/>
        <v>#DIV/0!</v>
      </c>
      <c r="L80" s="490"/>
      <c r="M80" s="526" t="e">
        <f t="shared" si="2"/>
        <v>#DIV/0!</v>
      </c>
      <c r="N80" s="104">
        <f>C52+C77</f>
        <v>0.99983820999999995</v>
      </c>
      <c r="O80" s="459"/>
    </row>
    <row r="81" spans="1:15" ht="15">
      <c r="A81" s="537" t="s">
        <v>50</v>
      </c>
      <c r="B81" s="550" t="s">
        <v>516</v>
      </c>
      <c r="C81" s="498" t="e">
        <f>0.000022*AVERAGE(C48:C49)</f>
        <v>#DIV/0!</v>
      </c>
      <c r="D81" s="540" t="s">
        <v>150</v>
      </c>
      <c r="E81" s="487">
        <v>100</v>
      </c>
      <c r="F81" s="504" t="e">
        <f>(($D$35/$D$34)*($B$28+$C$28)*(1-C48/$G$28)-($D$33/$D$32)*($B$20+$C$20)*(1-C48/$G$20))*(1/($C$52-$C$48))-(($D$35/$D$34)*($B$28+$C$28)*(1-($C$48+C81)/$G$28)-($D$33/$D$32)*($B$20+$C$20)*(1-($C$48+C81)/$G$20))*(1/($C$52-($C$48+C81)))</f>
        <v>#DIV/0!</v>
      </c>
      <c r="G81" s="501" t="s">
        <v>27</v>
      </c>
      <c r="H81" s="476" t="s">
        <v>52</v>
      </c>
      <c r="I81" s="481" t="e">
        <f>IF(A81="","",IF(F81="","Finish",IF(H81="","",VLOOKUP(H81,'Lookup Tables'!C6:D13,2,))))</f>
        <v>#DIV/0!</v>
      </c>
      <c r="J81" s="495" t="e">
        <f t="shared" si="0"/>
        <v>#DIV/0!</v>
      </c>
      <c r="K81" s="482" t="e">
        <f t="shared" si="1"/>
        <v>#DIV/0!</v>
      </c>
      <c r="L81" s="490"/>
      <c r="M81" s="526" t="e">
        <f t="shared" si="2"/>
        <v>#DIV/0!</v>
      </c>
      <c r="N81" s="463" t="e">
        <f>(ROUND(((((G10*(133.322368421053))*(0.02896546))/((1-(((G10*133.322368421053)/(O81+273.15))*((0.00000158123)+((-0.000000029331)*(O81))+(0.00000000011043*O81^2)+(((0.000005707)+(-0.00000002051*O81))*((G11/100)*((1.00062+0.0000000314*(G10*133.322368421053)+0.00000056*O81^2)*((EXP(0.000012378847*(O81+273.15)^2+(-0.019121316*(O81+273.15))+33.93711047+(-6343.1645/(O81+273.15))))/(G10*133.322368421053)))))+((0.00019898+(-0.000002376*O81))*(((G11/100)*((1.00062+0.0000000314*(G10*133.322368421053)+0.00000056*O81^2)*((EXP(0.000012378847*(O81+273.15)^2+(-0.019121316)*(O81+273.15)+33.93711047+(-6343.1645)/(O81+273.15)))/(G10*133.322368421053))))^2))))+(((G10*133.322368421053)^2/((O81+273.15)^2)*(0.0000000000183+(-0.00000000765*(((G11/100)*((1.00062+0.0000000314*(G10*133.322368421053)+0.00000056*O81^2)*((EXP(0.000012378847*(O81+273.15)^2+(-0.019121316)*(O81+273.15)+33.93711047+(-6343.1645)/(O81+273.15)))/(G10*133.322368421053))))^2))))))*(8.314472)*(O81+273.15)))*(1-((0.378*((G11/100)*((1.00062+0.0000000314*(G10*133.322368421053)+0.00000056*O81^2)*((EXP(0.000012378847*(O81+273.15)^2+(-0.019121316)*(O81+273.15)+33.93711047+(-6343.1645)/(O81+273.15)))/(G10*133.322368421053)))))))),9))/1000</f>
        <v>#DIV/0!</v>
      </c>
      <c r="O81" s="460" t="e">
        <f>(G9+C78)</f>
        <v>#DIV/0!</v>
      </c>
    </row>
    <row r="82" spans="1:15" ht="15">
      <c r="A82" s="538" t="s">
        <v>51</v>
      </c>
      <c r="B82" s="550" t="s">
        <v>517</v>
      </c>
      <c r="C82" s="498">
        <v>0.05</v>
      </c>
      <c r="D82" s="540" t="s">
        <v>149</v>
      </c>
      <c r="E82" s="487">
        <v>100</v>
      </c>
      <c r="F82" s="504" t="e">
        <f>(($D$35/$D$34)*($B$28+$C$28)*(1-$C$48/$G$28)-($D$33/$D$32)*($B$20+$C$20)*(1-$C$48/$G$20))*(1/($C$52-$C$48))-(($D$35/$D$34)*($B$28+$C$28)*(1-($C$48)/($G$28+$C$82))-($D$33/$D$32)*($B$20+$C$20)*(1-($C$48)/($G$20+$C$82)))*(1/($C$52-($C$48)))</f>
        <v>#DIV/0!</v>
      </c>
      <c r="G82" s="501" t="s">
        <v>27</v>
      </c>
      <c r="H82" s="476" t="s">
        <v>52</v>
      </c>
      <c r="I82" s="481" t="e">
        <f>IF(A82="","",IF(F82="","Finish",IF(H82="","",VLOOKUP(H82,'Lookup Tables'!C7:D14,2,))))</f>
        <v>#DIV/0!</v>
      </c>
      <c r="J82" s="495" t="e">
        <f>IF(A82="","",IF(F82="","Finish",IF(I82="","",F82/I82)))</f>
        <v>#DIV/0!</v>
      </c>
      <c r="K82" s="482" t="e">
        <f t="shared" si="1"/>
        <v>#DIV/0!</v>
      </c>
      <c r="L82" s="490"/>
      <c r="M82" s="526" t="e">
        <f t="shared" si="2"/>
        <v>#DIV/0!</v>
      </c>
      <c r="N82" s="463" t="e">
        <f>(ROUND(((((O82*(133.322368421053))*(0.02896546))/((1-(((O82*133.322368421053)/(G9+273.15))*((0.00000158123)+((-0.000000029331)*(G9))+(0.00000000011043*G9^2)+(((0.000005707)+(-0.00000002051*G9))*((G11/100)*((1.00062+0.0000000314*(O82*133.322368421053)+0.00000056*G9^2)*((EXP(0.000012378847*(G9+273.15)^2+(-0.019121316*(G9+273.15))+33.93711047+(-6343.1645/(G9+273.15))))/(O82*133.322368421053)))))+((0.00019898+(-0.000002376*G9))*(((G11/100)*((1.00062+0.0000000314*(O82*133.322368421053)+0.00000056*G9^2)*((EXP(0.000012378847*(G9+273.15)^2+(-0.019121316)*(G9+273.15)+33.93711047+(-6343.1645)/(G9+273.15)))/(O82*133.322368421053))))^2))))+(((O82*133.322368421053)^2/((G9+273.15)^2)*(0.0000000000183+(-0.00000000765*(((G11/100)*((1.00062+0.0000000314*(O82*133.322368421053)+0.00000056*G9^2)*((EXP(0.000012378847*(G9+273.15)^2+(-0.019121316)*(G9+273.15)+33.93711047+(-6343.1645)/(G9+273.15)))/(O82*133.322368421053))))^2))))))*(8.314472)*(G9+273.15)))*(1-((0.378*((G11/100)*((1.00062+0.0000000314*(O82*133.322368421053)+0.00000056*G9^2)*((EXP(0.000012378847*(G9+273.15)^2+(-0.019121316)*(G9+273.15)+33.93711047+(-6343.1645)/(G9+273.15)))/(O82*133.322368421053)))))))),9))/1000</f>
        <v>#DIV/0!</v>
      </c>
      <c r="O82" s="460" t="e">
        <f>(G10+C79)</f>
        <v>#DIV/0!</v>
      </c>
    </row>
    <row r="83" spans="1:15" ht="15">
      <c r="A83" s="538"/>
      <c r="B83" s="488"/>
      <c r="C83" s="499"/>
      <c r="D83" s="540"/>
      <c r="E83" s="496"/>
      <c r="F83" s="504"/>
      <c r="G83" s="501"/>
      <c r="H83" s="476"/>
      <c r="I83" s="481"/>
      <c r="J83" s="495" t="str">
        <f>IF(A83="","",IF(F83="","Finish",IF(I83="","",F83/I83)))</f>
        <v/>
      </c>
      <c r="K83" s="482" t="str">
        <f t="shared" ref="K83:K85" si="3">IF(J83="","",IF(J83="Finish","Finish",J83^2/SUMSQ(J83:J96)))</f>
        <v/>
      </c>
      <c r="L83" s="490"/>
      <c r="M83" s="526" t="str">
        <f t="shared" si="2"/>
        <v/>
      </c>
      <c r="N83" s="463" t="e">
        <f>(ROUND(((((G10*(133.322368421053))*(0.02896546))/((1-(((G10*133.322368421053)/(G9+273.15))*((0.00000158123)+((-0.000000029331)*(G9))+(0.00000000011043*G9^2)+(((0.000005707)+(-0.00000002051*G9))*((O83/100)*((1.00062+0.0000000314*(G10*133.322368421053)+0.00000056*G9^2)*((EXP(0.000012378847*(G9+273.15)^2+(-0.019121316*(G9+273.15))+33.93711047+(-6343.1645/(G9+273.15))))/(G10*133.322368421053)))))+((0.00019898+(-0.000002376*G9))*(((O83/100)*((1.00062+0.0000000314*(G10*133.322368421053)+0.00000056*G9^2)*((EXP(0.000012378847*(G9+273.15)^2+(-0.019121316)*(G9+273.15)+33.93711047+(-6343.1645)/(G9+273.15)))/(G10*133.322368421053))))^2))))+(((G10*133.322368421053)^2/((G9+273.15)^2)*(0.0000000000183+(-0.00000000765*(((O83/100)*((1.00062+0.0000000314*(G10*133.322368421053)+0.00000056*G9^2)*((EXP(0.000012378847*(G9+273.15)^2+(-0.019121316)*(G9+273.15)+33.93711047+(-6343.1645)/(G9+273.15)))/(G10*133.322368421053))))^2))))))*(8.314472)*(G9+273.15)))*(1-((0.378*((O83/100)*((1.00062+0.0000000314*(G10*133.322368421053)+0.00000056*G9^2)*((EXP(0.000012378847*(G9+273.15)^2+(-0.019121316)*(G9+273.15)+33.93711047+(-6343.1645)/(G9+273.15)))/(G10*133.322368421053)))))))),9))/1000</f>
        <v>#DIV/0!</v>
      </c>
      <c r="O83" s="460" t="e">
        <f>(G11+C80)</f>
        <v>#DIV/0!</v>
      </c>
    </row>
    <row r="84" spans="1:15" ht="15">
      <c r="A84" s="486"/>
      <c r="B84" s="496"/>
      <c r="C84" s="527"/>
      <c r="D84" s="540"/>
      <c r="E84" s="484"/>
      <c r="F84" s="492"/>
      <c r="G84" s="476"/>
      <c r="H84" s="476"/>
      <c r="I84" s="481"/>
      <c r="J84" s="495" t="str">
        <f t="shared" si="0"/>
        <v/>
      </c>
      <c r="K84" s="482" t="str">
        <f t="shared" si="3"/>
        <v/>
      </c>
      <c r="L84" s="491"/>
      <c r="M84" s="526" t="str">
        <f t="shared" si="2"/>
        <v/>
      </c>
      <c r="N84" s="507"/>
      <c r="O84" s="461"/>
    </row>
    <row r="85" spans="1:15" ht="12.75" customHeight="1">
      <c r="A85" s="485"/>
      <c r="B85" s="496"/>
      <c r="C85" s="527"/>
      <c r="D85" s="540"/>
      <c r="E85" s="484"/>
      <c r="F85" s="492"/>
      <c r="G85" s="476"/>
      <c r="H85" s="476"/>
      <c r="I85" s="481"/>
      <c r="J85" s="495" t="str">
        <f t="shared" si="0"/>
        <v/>
      </c>
      <c r="K85" s="482" t="str">
        <f t="shared" si="3"/>
        <v/>
      </c>
      <c r="L85" s="491"/>
      <c r="M85" s="526" t="str">
        <f t="shared" si="2"/>
        <v/>
      </c>
      <c r="N85" s="507"/>
      <c r="O85" s="461"/>
    </row>
    <row r="86" spans="1:15" ht="15.75" thickBot="1">
      <c r="A86" s="600" t="s">
        <v>479</v>
      </c>
      <c r="B86" s="601"/>
      <c r="C86" s="601"/>
      <c r="D86" s="601"/>
      <c r="E86" s="602"/>
      <c r="F86" s="468"/>
      <c r="G86" s="469"/>
      <c r="H86" s="469"/>
      <c r="I86" s="469"/>
      <c r="J86" s="479"/>
      <c r="K86" s="483" t="e">
        <f>SUM(K72:K82)</f>
        <v>#DIV/0!</v>
      </c>
      <c r="L86" s="480"/>
      <c r="M86" s="526" t="e">
        <f>IF(SUM(M72:M85)=0,"",SUM(M72:M85))</f>
        <v>#DIV/0!</v>
      </c>
      <c r="N86" s="508"/>
      <c r="O86" s="462"/>
    </row>
    <row r="87" spans="1:15" ht="15.75" thickTop="1">
      <c r="A87" s="470" t="s">
        <v>480</v>
      </c>
      <c r="B87" s="471" t="s">
        <v>481</v>
      </c>
      <c r="C87" s="472"/>
      <c r="D87" s="472"/>
      <c r="E87" s="493">
        <f>IF(COUNTA(A72:A85)&lt;&gt;COUNTA(E72:E85),"Entries incomplete.",IF(SUM(E72:E85)=0,"Entries incomplete.",MIN(E72:E85)))</f>
        <v>0</v>
      </c>
      <c r="F87" s="472"/>
      <c r="G87" s="473"/>
      <c r="H87" s="473"/>
      <c r="I87" s="473"/>
      <c r="J87" s="472"/>
      <c r="K87" s="474"/>
      <c r="L87" s="475"/>
      <c r="M87" s="528"/>
    </row>
    <row r="88" spans="1:15" ht="12.75" customHeight="1">
      <c r="A88" s="470" t="s">
        <v>482</v>
      </c>
      <c r="B88" s="471" t="s">
        <v>483</v>
      </c>
      <c r="C88" s="472"/>
      <c r="D88" s="472"/>
      <c r="E88" s="529" t="e">
        <f>IF(M91="","TBD",M91)</f>
        <v>#DIV/0!</v>
      </c>
      <c r="F88" s="472"/>
      <c r="G88" s="473"/>
      <c r="H88" s="473"/>
      <c r="I88" s="473"/>
      <c r="J88" s="472"/>
      <c r="K88" s="472"/>
      <c r="L88" s="475"/>
      <c r="M88" s="494"/>
    </row>
    <row r="89" spans="1:15" ht="12.75" customHeight="1">
      <c r="A89" s="603" t="s">
        <v>484</v>
      </c>
      <c r="B89" s="604"/>
      <c r="C89" s="604"/>
      <c r="D89" s="604"/>
      <c r="E89" s="604"/>
      <c r="F89" s="604"/>
      <c r="G89" s="604"/>
      <c r="H89" s="604"/>
      <c r="I89" s="605"/>
      <c r="J89" s="478" t="e">
        <f>SQRT(SUMSQ(J72:J85))</f>
        <v>#DIV/0!</v>
      </c>
      <c r="K89" s="606" t="s">
        <v>485</v>
      </c>
      <c r="L89" s="607"/>
      <c r="M89" s="528" t="e">
        <f>IF(J89^4=0,"",J89^4)</f>
        <v>#DIV/0!</v>
      </c>
    </row>
    <row r="90" spans="1:15" ht="12.75" customHeight="1">
      <c r="A90" s="610" t="s">
        <v>486</v>
      </c>
      <c r="B90" s="611"/>
      <c r="C90" s="611"/>
      <c r="D90" s="611"/>
      <c r="E90" s="611"/>
      <c r="F90" s="611"/>
      <c r="G90" s="611"/>
      <c r="H90" s="611"/>
      <c r="I90" s="611"/>
      <c r="J90" s="478" t="str">
        <f>IF(E87="Entries incomplete.","TBD",IF(E87&gt;0,ROUND(TINV(0.0455,MAX(E87:E88)),2),"TBD"))</f>
        <v>TBD</v>
      </c>
      <c r="K90" s="608"/>
      <c r="L90" s="609"/>
      <c r="M90" s="526"/>
    </row>
    <row r="91" spans="1:15" ht="12.75" customHeight="1">
      <c r="A91" s="610" t="s">
        <v>487</v>
      </c>
      <c r="B91" s="611"/>
      <c r="C91" s="611"/>
      <c r="D91" s="611"/>
      <c r="E91" s="611"/>
      <c r="F91" s="611"/>
      <c r="G91" s="611"/>
      <c r="H91" s="611"/>
      <c r="I91" s="611"/>
      <c r="J91" s="478" t="str">
        <f>IF(J90="TBD","TBD",J89*J90)</f>
        <v>TBD</v>
      </c>
      <c r="K91" s="530"/>
      <c r="L91" s="531"/>
      <c r="M91" s="526" t="e">
        <f>IF(M86="","",(ROUNDDOWN((M89/M86),0)))</f>
        <v>#DIV/0!</v>
      </c>
    </row>
    <row r="92" spans="1:15" ht="12.75" customHeight="1" thickBot="1">
      <c r="A92" s="598" t="s">
        <v>488</v>
      </c>
      <c r="B92" s="599"/>
      <c r="C92" s="599"/>
      <c r="D92" s="599"/>
      <c r="E92" s="599"/>
      <c r="F92" s="599"/>
      <c r="G92" s="599"/>
      <c r="H92" s="599"/>
      <c r="I92" s="599"/>
      <c r="J92" s="477" t="str">
        <f>IF(J90="TBD","TBD",IF(J91&lt;&gt;0,FIXED(J91,2-1-INT(LOG10(ABS(J91)))),"TBD"))</f>
        <v>TBD</v>
      </c>
      <c r="K92" s="564" t="s">
        <v>39</v>
      </c>
      <c r="L92" s="533"/>
      <c r="M92" s="534"/>
    </row>
    <row r="93" spans="1:15" ht="12.75" customHeight="1" thickTop="1"/>
    <row r="94" spans="1:15" ht="12.75" customHeight="1"/>
    <row r="95" spans="1:15" ht="12.75" customHeight="1"/>
    <row r="96" spans="1:15" ht="12.75" customHeight="1"/>
  </sheetData>
  <sheetProtection formatCells="0" formatColumns="0" formatRows="0"/>
  <mergeCells count="81">
    <mergeCell ref="D6:G6"/>
    <mergeCell ref="A1:J1"/>
    <mergeCell ref="A2:J2"/>
    <mergeCell ref="D4:G4"/>
    <mergeCell ref="H4:J4"/>
    <mergeCell ref="D5:G5"/>
    <mergeCell ref="C12:E12"/>
    <mergeCell ref="A13:F13"/>
    <mergeCell ref="A14:A15"/>
    <mergeCell ref="B14:B15"/>
    <mergeCell ref="C14:C15"/>
    <mergeCell ref="D14:D15"/>
    <mergeCell ref="E14:E15"/>
    <mergeCell ref="M33:P33"/>
    <mergeCell ref="A21:F21"/>
    <mergeCell ref="A22:A23"/>
    <mergeCell ref="B22:B23"/>
    <mergeCell ref="C22:C23"/>
    <mergeCell ref="D22:D23"/>
    <mergeCell ref="E22:E23"/>
    <mergeCell ref="G22:G23"/>
    <mergeCell ref="A29:F29"/>
    <mergeCell ref="A30:F30"/>
    <mergeCell ref="D31:G31"/>
    <mergeCell ref="D32:G32"/>
    <mergeCell ref="D33:G33"/>
    <mergeCell ref="A43:B43"/>
    <mergeCell ref="M34:P34"/>
    <mergeCell ref="D35:G35"/>
    <mergeCell ref="M35:P35"/>
    <mergeCell ref="D36:G36"/>
    <mergeCell ref="D37:G37"/>
    <mergeCell ref="N37:Q37"/>
    <mergeCell ref="D48:F48"/>
    <mergeCell ref="N38:Q38"/>
    <mergeCell ref="D39:G39"/>
    <mergeCell ref="N39:Q39"/>
    <mergeCell ref="D40:G40"/>
    <mergeCell ref="N77:O77"/>
    <mergeCell ref="A61:C61"/>
    <mergeCell ref="A70:F70"/>
    <mergeCell ref="H70:K70"/>
    <mergeCell ref="A50:F50"/>
    <mergeCell ref="A51:C51"/>
    <mergeCell ref="D51:F51"/>
    <mergeCell ref="D52:F52"/>
    <mergeCell ref="D53:F53"/>
    <mergeCell ref="A54:C54"/>
    <mergeCell ref="D54:F54"/>
    <mergeCell ref="D55:F55"/>
    <mergeCell ref="D56:F56"/>
    <mergeCell ref="A57:C57"/>
    <mergeCell ref="D57:F57"/>
    <mergeCell ref="A62:B62"/>
    <mergeCell ref="A63:B63"/>
    <mergeCell ref="A64:C64"/>
    <mergeCell ref="D64:F64"/>
    <mergeCell ref="D65:F65"/>
    <mergeCell ref="H14:H15"/>
    <mergeCell ref="H22:H23"/>
    <mergeCell ref="F14:F15"/>
    <mergeCell ref="F22:F23"/>
    <mergeCell ref="D49:F49"/>
    <mergeCell ref="D38:G38"/>
    <mergeCell ref="D34:G34"/>
    <mergeCell ref="G14:G15"/>
    <mergeCell ref="A44:B44"/>
    <mergeCell ref="A46:F46"/>
    <mergeCell ref="A47:C47"/>
    <mergeCell ref="D47:F47"/>
    <mergeCell ref="E69:G69"/>
    <mergeCell ref="H69:K69"/>
    <mergeCell ref="G57:H57"/>
    <mergeCell ref="D66:F66"/>
    <mergeCell ref="D67:F67"/>
    <mergeCell ref="A92:I92"/>
    <mergeCell ref="A86:E86"/>
    <mergeCell ref="A89:I89"/>
    <mergeCell ref="K89:L90"/>
    <mergeCell ref="A90:I90"/>
    <mergeCell ref="A91:I91"/>
  </mergeCells>
  <conditionalFormatting sqref="D66">
    <cfRule type="containsText" dxfId="2" priority="1" operator="containsText" text="Pass">
      <formula>NOT(ISERROR(SEARCH("Pass",D66)))</formula>
    </cfRule>
  </conditionalFormatting>
  <dataValidations count="6">
    <dataValidation type="list" allowBlank="1" showInputMessage="1" showErrorMessage="1" sqref="A16:A19">
      <formula1>MassId_Ms1List</formula1>
    </dataValidation>
    <dataValidation type="list" allowBlank="1" showInputMessage="1" showErrorMessage="1" sqref="A24:A27">
      <formula1>MassId_Ms2List</formula1>
    </dataValidation>
    <dataValidation type="list" allowBlank="1" showInputMessage="1" showErrorMessage="1" prompt="Be sure to select the correct units for your measurement result." sqref="B69">
      <formula1>Units</formula1>
    </dataValidation>
    <dataValidation type="list" allowBlank="1" showInputMessage="1" showErrorMessage="1" prompt="Select the probability distribution.  If Type B, rectangular is the default and is often used for digital instrument inputs.  Triangular may be selected for analog readings, including those with a meniscus." sqref="H72:H85">
      <formula1>ProbabilityList</formula1>
    </dataValidation>
    <dataValidation type="list" allowBlank="1" showInputMessage="1" showErrorMessage="1" prompt="Select A if the estimate is statistically based; else select B." sqref="G72:G85">
      <formula1>UncTypeList</formula1>
    </dataValidation>
    <dataValidation type="list" allowBlank="1" showInputMessage="1" showErrorMessage="1" sqref="D72:D85">
      <formula1>Units</formula1>
    </dataValidation>
  </dataValidations>
  <pageMargins left="0.7" right="0.7" top="0.75" bottom="0.75" header="0.3" footer="0.3"/>
  <pageSetup scale="66" fitToHeight="2" orientation="landscape" r:id="rId1"/>
  <headerFooter alignWithMargins="0">
    <oddHeader>&amp;C&amp;"Times New Roman,Regular"&amp;F</oddHeader>
    <oddFooter>&amp;C&amp;"Times New Roman,Regular"Page &amp;P of &amp;N</oddFooter>
  </headerFooter>
  <rowBreaks count="1" manualBreakCount="1">
    <brk id="45" max="9" man="1"/>
  </rowBreaks>
  <ignoredErrors>
    <ignoredError sqref="G20 G28" formula="1"/>
    <ignoredError sqref="C81 I75:J81 M75:M91 J89:J92 G43:G44 C43:C44 E43:E44 D9:E11 G9:G11 C48:C49 C58:C59 C62:C63 C65:C66 E88 M72:M73 J83:K83 J82" evalError="1"/>
  </ignoredErrors>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6</xdr:col>
                <xdr:colOff>200025</xdr:colOff>
                <xdr:row>56</xdr:row>
                <xdr:rowOff>209550</xdr:rowOff>
              </from>
              <to>
                <xdr:col>11</xdr:col>
                <xdr:colOff>657225</xdr:colOff>
                <xdr:row>60</xdr:row>
                <xdr:rowOff>28575</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7">
            <anchor moveWithCells="1" sizeWithCells="1">
              <from>
                <xdr:col>6</xdr:col>
                <xdr:colOff>171450</xdr:colOff>
                <xdr:row>54</xdr:row>
                <xdr:rowOff>85725</xdr:rowOff>
              </from>
              <to>
                <xdr:col>8</xdr:col>
                <xdr:colOff>485775</xdr:colOff>
                <xdr:row>56</xdr:row>
                <xdr:rowOff>104775</xdr:rowOff>
              </to>
            </anchor>
          </objectPr>
        </oleObject>
      </mc:Choice>
      <mc:Fallback>
        <oleObject progId="Equation.3" shapeId="26626"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A2" sqref="A2"/>
    </sheetView>
  </sheetViews>
  <sheetFormatPr defaultColWidth="7" defaultRowHeight="15.75"/>
  <cols>
    <col min="1" max="1" width="7" style="8" customWidth="1"/>
    <col min="2" max="2" width="13.625" style="8" customWidth="1"/>
    <col min="3" max="3" width="11.375" style="8" bestFit="1" customWidth="1"/>
    <col min="4" max="4" width="7" style="8" customWidth="1"/>
    <col min="5" max="5" width="6.5" style="8" bestFit="1" customWidth="1"/>
    <col min="6" max="6" width="7" style="8" customWidth="1"/>
    <col min="7" max="7" width="15.375" style="8" customWidth="1"/>
    <col min="8" max="8" width="7" style="8" customWidth="1"/>
    <col min="9" max="11" width="7" style="2" customWidth="1"/>
    <col min="12" max="12" width="13.5" style="2" customWidth="1"/>
    <col min="13" max="16384" width="7" style="2"/>
  </cols>
  <sheetData>
    <row r="1" spans="1:7">
      <c r="A1" s="33" t="s">
        <v>3</v>
      </c>
      <c r="B1" s="34"/>
      <c r="C1" s="33" t="s">
        <v>4</v>
      </c>
    </row>
    <row r="3" spans="1:7">
      <c r="A3" s="7"/>
      <c r="B3" s="7"/>
      <c r="C3" s="7"/>
      <c r="D3" s="7"/>
      <c r="F3" s="9" t="s">
        <v>5</v>
      </c>
      <c r="G3" s="9"/>
    </row>
    <row r="4" spans="1:7" ht="16.5" thickBot="1">
      <c r="A4" s="3" t="s">
        <v>6</v>
      </c>
      <c r="B4" s="4"/>
      <c r="C4" s="10"/>
      <c r="D4" s="11"/>
      <c r="E4" s="12"/>
      <c r="F4" s="9" t="s">
        <v>7</v>
      </c>
      <c r="G4" s="9"/>
    </row>
    <row r="5" spans="1:7" ht="16.5" thickTop="1">
      <c r="A5" s="13" t="s">
        <v>8</v>
      </c>
      <c r="B5" s="14"/>
      <c r="C5" s="15">
        <v>760</v>
      </c>
      <c r="D5" s="16" t="s">
        <v>9</v>
      </c>
      <c r="E5" s="12"/>
      <c r="F5" s="17">
        <f>C5*133.322368421053</f>
        <v>101325.00000000028</v>
      </c>
      <c r="G5" s="18" t="s">
        <v>10</v>
      </c>
    </row>
    <row r="6" spans="1:7">
      <c r="A6" s="19" t="s">
        <v>11</v>
      </c>
      <c r="B6" s="20"/>
      <c r="C6" s="21">
        <v>20</v>
      </c>
      <c r="D6" s="22" t="s">
        <v>12</v>
      </c>
      <c r="E6" s="12"/>
      <c r="F6" s="23">
        <f>C6+273.15</f>
        <v>293.14999999999998</v>
      </c>
      <c r="G6" s="18" t="s">
        <v>13</v>
      </c>
    </row>
    <row r="7" spans="1:7" ht="16.5" thickBot="1">
      <c r="A7" s="24" t="s">
        <v>14</v>
      </c>
      <c r="B7" s="25"/>
      <c r="C7" s="26">
        <v>42</v>
      </c>
      <c r="D7" s="27" t="s">
        <v>15</v>
      </c>
      <c r="E7" s="12"/>
      <c r="F7" s="23">
        <f>C7</f>
        <v>42</v>
      </c>
      <c r="G7" s="18" t="s">
        <v>15</v>
      </c>
    </row>
    <row r="8" spans="1:7" ht="19.5" thickTop="1">
      <c r="A8" s="28" t="s">
        <v>16</v>
      </c>
      <c r="B8" s="28"/>
      <c r="C8" s="29">
        <f>0.0289635*($F$5)/(((1-($F$5)/($F$6)*(0.00000158123+(-0.000000029331*($C$6))+(0.00000000011043*($C$6)^2)+(0.000005707+(-0.00000002051*($C$6)))*(($F$7/100)*(1.00062+0.0000000314*($F$5)+0.00000056*($C$6)^2)*(EXP(0.000012378847*($F$6)^2+(-0.019121316)*($F$6)+33.93711047+(-6343.1645/($F$6))))/($F$5))+(0.00019898+(-0.000002376*($C$6)))*(($F$7/100)*(1.00062+0.0000000314*($F$5)+0.00000056*($C$6)^2)*(EXP(0.000012378847*($F$6)^2+(-0.019121316)*($F$6)+33.93711047+(-6343.1645/($F$6))))/($F$5))^2)+($F$5)^2/($F$6)^2*(0.0000000000183+(-0.00000000765*(($F$7/100)*(1.00062+0.0000000314*($F$5)+0.00000056*($C$6)^2)*(EXP(0.000012378847*($F$6)^2+(-0.019121316)*($F$6)+33.93711047+(-6343.1645/($F$6))))/($F$5))^2))))*8.31451*($F$6))*(1-(0.378*(($F$7/100)*(1.00062+0.0000000314*($F$5)+0.00000056*($C$6)^2)*(EXP(0.000012378847*($F$6)^2+(-0.019121316)*($F$6)+33.93711047+(-6343.1645/($F$6))))/($F$5))))</f>
        <v>1.2000655177242927</v>
      </c>
      <c r="D8" s="30" t="s">
        <v>21</v>
      </c>
      <c r="E8" s="31">
        <f>C8/1000</f>
        <v>1.2000655177242926E-3</v>
      </c>
      <c r="F8" s="30" t="s">
        <v>22</v>
      </c>
    </row>
    <row r="15" spans="1:7">
      <c r="A15" s="8" t="s">
        <v>17</v>
      </c>
      <c r="B15" s="35"/>
      <c r="C15" s="32"/>
      <c r="D15" s="36"/>
      <c r="F15" s="9"/>
    </row>
    <row r="16" spans="1:7">
      <c r="A16" s="8" t="s">
        <v>18</v>
      </c>
    </row>
    <row r="17" spans="1:1">
      <c r="A17" s="8" t="s">
        <v>19</v>
      </c>
    </row>
    <row r="18" spans="1:1">
      <c r="A18" s="8" t="s">
        <v>20</v>
      </c>
    </row>
  </sheetData>
  <sheetProtection password="FFED" sheet="1" objects="1" scenarios="1"/>
  <phoneticPr fontId="7" type="noConversion"/>
  <pageMargins left="0.87" right="0.45" top="1" bottom="1" header="0.5" footer="0.5"/>
  <pageSetup orientation="portrait"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4"/>
  <sheetViews>
    <sheetView workbookViewId="0">
      <selection activeCell="C21" sqref="C21"/>
    </sheetView>
  </sheetViews>
  <sheetFormatPr defaultRowHeight="12"/>
  <cols>
    <col min="1" max="1" width="14.5" customWidth="1"/>
    <col min="2" max="3" width="13.5" customWidth="1"/>
    <col min="10" max="10" width="9.875" bestFit="1" customWidth="1"/>
  </cols>
  <sheetData>
    <row r="1" spans="1:10" ht="15.75">
      <c r="A1" s="1"/>
      <c r="B1" s="1"/>
      <c r="C1" s="1"/>
      <c r="D1" s="1"/>
      <c r="E1" s="1"/>
      <c r="F1" s="1"/>
    </row>
    <row r="2" spans="1:10" ht="15.75">
      <c r="A2" s="1"/>
      <c r="B2" s="1"/>
      <c r="C2" s="1"/>
      <c r="D2" s="1"/>
      <c r="E2" s="1"/>
      <c r="F2" s="1"/>
    </row>
    <row r="3" spans="1:10" ht="15.75">
      <c r="A3" s="1"/>
      <c r="B3" s="1"/>
      <c r="C3" s="1"/>
      <c r="D3" s="1"/>
      <c r="E3" s="1"/>
      <c r="F3" s="1"/>
    </row>
    <row r="4" spans="1:10" ht="15.75">
      <c r="A4" s="1"/>
      <c r="B4" s="1" t="s">
        <v>32</v>
      </c>
      <c r="C4" s="1"/>
      <c r="D4" s="5" t="s">
        <v>35</v>
      </c>
      <c r="E4" s="1"/>
      <c r="F4" s="1"/>
      <c r="G4" t="s">
        <v>37</v>
      </c>
      <c r="I4" t="s">
        <v>31</v>
      </c>
      <c r="J4">
        <v>999.97357999999997</v>
      </c>
    </row>
    <row r="5" spans="1:10" ht="15.75">
      <c r="A5" s="1" t="s">
        <v>36</v>
      </c>
      <c r="B5" s="1" t="s">
        <v>24</v>
      </c>
      <c r="C5" s="1"/>
      <c r="D5" s="1"/>
      <c r="E5" s="1"/>
      <c r="F5" s="1"/>
      <c r="I5" t="s">
        <v>26</v>
      </c>
      <c r="J5" s="37">
        <v>7.0133999999999998E-8</v>
      </c>
    </row>
    <row r="6" spans="1:10" ht="18.75">
      <c r="A6" s="1">
        <v>5</v>
      </c>
      <c r="B6" s="38">
        <f>(999.97358*(1-(0.000000070134*(A6-3.9818)+0.000007926504*(A6-3.9818)^2+-0.00000007575677*(A6-3.9818)^3+0.0000000007314894*(A6-3.9818)^4+-0.000000000003596458*(A6-3.9818)^5)))/1000</f>
        <v>0.99996537033869526</v>
      </c>
      <c r="C6" s="1" t="s">
        <v>25</v>
      </c>
      <c r="D6" s="6">
        <f>ROUND(((999.84847)+(0.06337563*A6)-(0.008523829*A6^2)+(0.00006943248*A6^3)-(0.0000003821216*A6^4))/1000,6)</f>
        <v>0.99996099999999999</v>
      </c>
      <c r="E6" s="1" t="s">
        <v>25</v>
      </c>
      <c r="F6" s="1"/>
      <c r="G6" s="39">
        <f>(B6-D6)*1000000</f>
        <v>4.3703386952698153</v>
      </c>
      <c r="H6" t="s">
        <v>38</v>
      </c>
      <c r="I6" t="s">
        <v>27</v>
      </c>
      <c r="J6" s="37">
        <v>7.9265040000000004E-6</v>
      </c>
    </row>
    <row r="7" spans="1:10" ht="18.75">
      <c r="A7">
        <v>6</v>
      </c>
      <c r="B7" s="38">
        <f t="shared" ref="B7:B41" si="0">(999.97358*(1-(0.000000070134*(A7-3.9818)+0.000007926504*(A7-3.9818)^2+-0.00000007575677*(A7-3.9818)^3+0.0000000007314894*(A7-3.9818)^4+-0.000000000003596458*(A7-3.9818)^5)))/1000</f>
        <v>0.99994176434026305</v>
      </c>
      <c r="C7" s="1" t="s">
        <v>25</v>
      </c>
      <c r="D7" s="6">
        <f t="shared" ref="D7:D41" si="1">ROUND(((999.84847)+(0.06337563*A7)-(0.008523829*A7^2)+(0.00006943248*A7^3)-(0.0000003821216*A7^4))/1000,6)</f>
        <v>0.99993600000000005</v>
      </c>
      <c r="E7" s="1" t="s">
        <v>25</v>
      </c>
      <c r="F7" s="1"/>
      <c r="G7" s="39">
        <f t="shared" ref="G7:G41" si="2">(B7-D7)*1000000</f>
        <v>5.7643402630036533</v>
      </c>
      <c r="I7" t="s">
        <v>23</v>
      </c>
      <c r="J7" s="37">
        <v>-7.5756769999999994E-8</v>
      </c>
    </row>
    <row r="8" spans="1:10" ht="18.75">
      <c r="A8" s="1">
        <v>7</v>
      </c>
      <c r="B8" s="38">
        <f t="shared" si="0"/>
        <v>0.99990318653073873</v>
      </c>
      <c r="C8" s="1" t="s">
        <v>25</v>
      </c>
      <c r="D8" s="6">
        <f t="shared" si="1"/>
        <v>0.99989700000000004</v>
      </c>
      <c r="E8" s="1" t="s">
        <v>25</v>
      </c>
      <c r="F8" s="1"/>
      <c r="G8" s="39">
        <f t="shared" si="2"/>
        <v>6.1865307386943513</v>
      </c>
      <c r="I8" t="s">
        <v>28</v>
      </c>
      <c r="J8" s="37">
        <v>7.3148940000000004E-10</v>
      </c>
    </row>
    <row r="9" spans="1:10" ht="18.75">
      <c r="A9">
        <v>8</v>
      </c>
      <c r="B9" s="38">
        <f t="shared" si="0"/>
        <v>0.99985004865331195</v>
      </c>
      <c r="C9" s="1" t="s">
        <v>25</v>
      </c>
      <c r="D9" s="6">
        <f t="shared" si="1"/>
        <v>0.99984399999999996</v>
      </c>
      <c r="E9" s="1" t="s">
        <v>25</v>
      </c>
      <c r="F9" s="1"/>
      <c r="G9" s="39">
        <f t="shared" si="2"/>
        <v>6.0486533119963326</v>
      </c>
      <c r="I9" t="s">
        <v>29</v>
      </c>
      <c r="J9" s="37">
        <v>-3.5964579999999999E-12</v>
      </c>
    </row>
    <row r="10" spans="1:10" ht="18.75">
      <c r="A10" s="1">
        <v>9</v>
      </c>
      <c r="B10" s="38">
        <f t="shared" si="0"/>
        <v>0.99978274619843577</v>
      </c>
      <c r="C10" s="1" t="s">
        <v>25</v>
      </c>
      <c r="D10" s="6">
        <f t="shared" si="1"/>
        <v>0.99977700000000003</v>
      </c>
      <c r="E10" s="1" t="s">
        <v>25</v>
      </c>
      <c r="F10" s="1"/>
      <c r="G10" s="39">
        <f t="shared" si="2"/>
        <v>5.746198435740979</v>
      </c>
      <c r="I10" t="s">
        <v>30</v>
      </c>
      <c r="J10" s="37">
        <v>3.9817999999999998</v>
      </c>
    </row>
    <row r="11" spans="1:10" ht="18.75">
      <c r="A11">
        <v>10</v>
      </c>
      <c r="B11" s="38">
        <f t="shared" si="0"/>
        <v>0.99970165883539031</v>
      </c>
      <c r="C11" s="1" t="s">
        <v>25</v>
      </c>
      <c r="D11" s="6">
        <f t="shared" si="1"/>
        <v>0.999695</v>
      </c>
      <c r="E11" s="1" t="s">
        <v>25</v>
      </c>
      <c r="F11" s="1"/>
      <c r="G11" s="39">
        <f t="shared" si="2"/>
        <v>6.6588353903052067</v>
      </c>
    </row>
    <row r="12" spans="1:10" ht="18.75">
      <c r="A12" s="1">
        <v>11</v>
      </c>
      <c r="B12" s="38">
        <f t="shared" si="0"/>
        <v>0.99960715084384555</v>
      </c>
      <c r="C12" s="1" t="s">
        <v>25</v>
      </c>
      <c r="D12" s="6">
        <f t="shared" si="1"/>
        <v>0.99960099999999996</v>
      </c>
      <c r="E12" s="1" t="s">
        <v>25</v>
      </c>
      <c r="F12" s="1"/>
      <c r="G12" s="39">
        <f t="shared" si="2"/>
        <v>6.1508438455870618</v>
      </c>
    </row>
    <row r="13" spans="1:10" ht="18.75">
      <c r="A13">
        <v>12</v>
      </c>
      <c r="B13" s="38">
        <f t="shared" si="0"/>
        <v>0.99949957154542635</v>
      </c>
      <c r="C13" s="1" t="s">
        <v>25</v>
      </c>
      <c r="D13" s="6">
        <f t="shared" si="1"/>
        <v>0.99949399999999999</v>
      </c>
      <c r="E13" s="1" t="s">
        <v>25</v>
      </c>
      <c r="F13" s="1"/>
      <c r="G13" s="39">
        <f t="shared" si="2"/>
        <v>5.571545426352742</v>
      </c>
    </row>
    <row r="14" spans="1:10" ht="18.75">
      <c r="A14" s="1">
        <v>13</v>
      </c>
      <c r="B14" s="38">
        <f t="shared" si="0"/>
        <v>0.9993792557352742</v>
      </c>
      <c r="C14" s="1" t="s">
        <v>25</v>
      </c>
      <c r="D14" s="6">
        <f t="shared" si="1"/>
        <v>0.99937299999999996</v>
      </c>
      <c r="E14" s="1" t="s">
        <v>25</v>
      </c>
      <c r="F14" s="1"/>
      <c r="G14" s="39">
        <f t="shared" si="2"/>
        <v>6.2557352742409478</v>
      </c>
    </row>
    <row r="15" spans="1:10" ht="18.75">
      <c r="A15">
        <v>14</v>
      </c>
      <c r="B15" s="38">
        <f t="shared" si="0"/>
        <v>0.99924652411361248</v>
      </c>
      <c r="C15" s="1" t="s">
        <v>25</v>
      </c>
      <c r="D15" s="6">
        <f t="shared" si="1"/>
        <v>0.99924100000000005</v>
      </c>
      <c r="E15" s="1" t="s">
        <v>25</v>
      </c>
      <c r="F15" s="1"/>
      <c r="G15" s="39">
        <f t="shared" si="2"/>
        <v>5.5241136124317691</v>
      </c>
    </row>
    <row r="16" spans="1:10" ht="18.75">
      <c r="A16" s="1">
        <v>15</v>
      </c>
      <c r="B16" s="38">
        <f t="shared" si="0"/>
        <v>0.99910168371730923</v>
      </c>
      <c r="C16" s="1" t="s">
        <v>25</v>
      </c>
      <c r="D16" s="6">
        <f t="shared" si="1"/>
        <v>0.99909599999999998</v>
      </c>
      <c r="E16" s="1" t="s">
        <v>25</v>
      </c>
      <c r="F16" s="1"/>
      <c r="G16" s="39">
        <f t="shared" si="2"/>
        <v>5.6837173092461057</v>
      </c>
    </row>
    <row r="17" spans="1:7" ht="18.75">
      <c r="A17">
        <v>16</v>
      </c>
      <c r="B17" s="38">
        <f t="shared" si="0"/>
        <v>0.99894502835144017</v>
      </c>
      <c r="C17" s="1" t="s">
        <v>25</v>
      </c>
      <c r="D17" s="6">
        <f t="shared" si="1"/>
        <v>0.99894000000000005</v>
      </c>
      <c r="E17" s="1" t="s">
        <v>25</v>
      </c>
      <c r="F17" s="1"/>
      <c r="G17" s="39">
        <f t="shared" si="2"/>
        <v>5.0283514401172624</v>
      </c>
    </row>
    <row r="18" spans="1:7" ht="18.75">
      <c r="A18" s="1">
        <v>17</v>
      </c>
      <c r="B18" s="38">
        <f t="shared" si="0"/>
        <v>0.99877683902085335</v>
      </c>
      <c r="C18" s="1" t="s">
        <v>25</v>
      </c>
      <c r="D18" s="6">
        <f t="shared" si="1"/>
        <v>0.99877199999999999</v>
      </c>
      <c r="E18" s="1" t="s">
        <v>25</v>
      </c>
      <c r="F18" s="1"/>
      <c r="G18" s="39">
        <f t="shared" si="2"/>
        <v>4.8390208533533041</v>
      </c>
    </row>
    <row r="19" spans="1:7" ht="18.75">
      <c r="A19">
        <v>18</v>
      </c>
      <c r="B19" s="38">
        <f t="shared" si="0"/>
        <v>0.99859738436173207</v>
      </c>
      <c r="C19" s="1" t="s">
        <v>25</v>
      </c>
      <c r="D19" s="6">
        <f t="shared" si="1"/>
        <v>0.99859200000000004</v>
      </c>
      <c r="E19" s="1" t="s">
        <v>25</v>
      </c>
      <c r="F19" s="1"/>
      <c r="G19" s="39">
        <f t="shared" si="2"/>
        <v>5.3843617320303849</v>
      </c>
    </row>
    <row r="20" spans="1:7" ht="18.75">
      <c r="A20" s="1">
        <v>19</v>
      </c>
      <c r="B20" s="38">
        <f t="shared" si="0"/>
        <v>0.99840692107315865</v>
      </c>
      <c r="C20" s="1" t="s">
        <v>25</v>
      </c>
      <c r="D20" s="6">
        <f t="shared" si="1"/>
        <v>0.99840200000000001</v>
      </c>
      <c r="E20" s="1" t="s">
        <v>25</v>
      </c>
      <c r="F20" s="1"/>
      <c r="G20" s="39">
        <f t="shared" si="2"/>
        <v>4.9210731586368794</v>
      </c>
    </row>
    <row r="21" spans="1:7" ht="18.75">
      <c r="A21">
        <v>20</v>
      </c>
      <c r="B21" s="38">
        <f t="shared" si="0"/>
        <v>0.99820569434867756</v>
      </c>
      <c r="C21" s="1" t="s">
        <v>25</v>
      </c>
      <c r="D21" s="6">
        <f t="shared" si="1"/>
        <v>0.998201</v>
      </c>
      <c r="E21" s="1" t="s">
        <v>25</v>
      </c>
      <c r="F21" s="1"/>
      <c r="G21" s="39">
        <f t="shared" si="2"/>
        <v>4.6943486775585797</v>
      </c>
    </row>
    <row r="22" spans="1:7" ht="18.75">
      <c r="A22" s="1">
        <v>21</v>
      </c>
      <c r="B22" s="38">
        <f t="shared" si="0"/>
        <v>0.99799393830785954</v>
      </c>
      <c r="C22" s="1" t="s">
        <v>25</v>
      </c>
      <c r="D22" s="6">
        <f t="shared" si="1"/>
        <v>0.99798900000000001</v>
      </c>
      <c r="E22" s="1" t="s">
        <v>25</v>
      </c>
      <c r="F22" s="1"/>
      <c r="G22" s="39">
        <f t="shared" si="2"/>
        <v>4.938307859525537</v>
      </c>
    </row>
    <row r="23" spans="1:7" ht="18.75">
      <c r="A23">
        <v>22</v>
      </c>
      <c r="B23" s="38">
        <f t="shared" si="0"/>
        <v>0.99777187642786525</v>
      </c>
      <c r="C23" s="1" t="s">
        <v>25</v>
      </c>
      <c r="D23" s="6">
        <f t="shared" si="1"/>
        <v>0.99776699999999996</v>
      </c>
      <c r="E23" s="1" t="s">
        <v>25</v>
      </c>
      <c r="F23" s="1"/>
      <c r="G23" s="39">
        <f t="shared" si="2"/>
        <v>4.8764278652857485</v>
      </c>
    </row>
    <row r="24" spans="1:7" ht="18.75">
      <c r="A24" s="1">
        <v>23</v>
      </c>
      <c r="B24" s="38">
        <f t="shared" si="0"/>
        <v>0.99753972197500773</v>
      </c>
      <c r="C24" s="1" t="s">
        <v>25</v>
      </c>
      <c r="D24" s="6">
        <f t="shared" si="1"/>
        <v>0.99753499999999995</v>
      </c>
      <c r="E24" s="1" t="s">
        <v>25</v>
      </c>
      <c r="F24" s="1"/>
      <c r="G24" s="39">
        <f t="shared" si="2"/>
        <v>4.7219750077820422</v>
      </c>
    </row>
    <row r="25" spans="1:7" ht="18.75">
      <c r="A25">
        <v>24</v>
      </c>
      <c r="B25" s="38">
        <f t="shared" si="0"/>
        <v>0.99729767843631756</v>
      </c>
      <c r="C25" s="1" t="s">
        <v>25</v>
      </c>
      <c r="D25" s="6">
        <f t="shared" si="1"/>
        <v>0.99729299999999999</v>
      </c>
      <c r="E25" s="1" t="s">
        <v>25</v>
      </c>
      <c r="F25" s="1"/>
      <c r="G25" s="39">
        <f t="shared" si="2"/>
        <v>4.6784363175733645</v>
      </c>
    </row>
    <row r="26" spans="1:7" ht="18.75">
      <c r="A26" s="1">
        <v>25</v>
      </c>
      <c r="B26" s="38">
        <f t="shared" si="0"/>
        <v>0.99704593995110524</v>
      </c>
      <c r="C26" s="1" t="s">
        <v>25</v>
      </c>
      <c r="D26" s="6">
        <f t="shared" si="1"/>
        <v>0.99704099999999996</v>
      </c>
      <c r="E26" s="1" t="s">
        <v>25</v>
      </c>
      <c r="G26" s="39">
        <f t="shared" si="2"/>
        <v>4.9399511052872214</v>
      </c>
    </row>
    <row r="27" spans="1:7" ht="18.75">
      <c r="A27">
        <v>26</v>
      </c>
      <c r="B27" s="38">
        <f t="shared" si="0"/>
        <v>0.99678469174252482</v>
      </c>
      <c r="C27" s="1" t="s">
        <v>25</v>
      </c>
      <c r="D27" s="6">
        <f t="shared" si="1"/>
        <v>0.99678</v>
      </c>
      <c r="E27" s="1" t="s">
        <v>25</v>
      </c>
      <c r="G27" s="39">
        <f t="shared" si="2"/>
        <v>4.6917425248205191</v>
      </c>
    </row>
    <row r="28" spans="1:7" ht="18.75">
      <c r="A28" s="1">
        <v>27</v>
      </c>
      <c r="B28" s="38">
        <f t="shared" si="0"/>
        <v>0.9965141105491383</v>
      </c>
      <c r="C28" s="1" t="s">
        <v>25</v>
      </c>
      <c r="D28" s="6">
        <f t="shared" si="1"/>
        <v>0.99650899999999998</v>
      </c>
      <c r="E28" s="1" t="s">
        <v>25</v>
      </c>
      <c r="G28" s="39">
        <f t="shared" si="2"/>
        <v>5.1105491383207635</v>
      </c>
    </row>
    <row r="29" spans="1:7" ht="18.75">
      <c r="A29">
        <v>28</v>
      </c>
      <c r="B29" s="38">
        <f t="shared" si="0"/>
        <v>0.99623436505647844</v>
      </c>
      <c r="C29" s="1" t="s">
        <v>25</v>
      </c>
      <c r="D29" s="6">
        <f t="shared" si="1"/>
        <v>0.99622999999999995</v>
      </c>
      <c r="E29" s="1" t="s">
        <v>25</v>
      </c>
      <c r="G29" s="39">
        <f t="shared" si="2"/>
        <v>4.3650564784947221</v>
      </c>
    </row>
    <row r="30" spans="1:7" ht="18.75">
      <c r="A30" s="1">
        <v>29</v>
      </c>
      <c r="B30" s="38">
        <f t="shared" si="0"/>
        <v>0.995945616328612</v>
      </c>
      <c r="C30" s="1" t="s">
        <v>25</v>
      </c>
      <c r="D30" s="6">
        <f t="shared" si="1"/>
        <v>0.99594099999999997</v>
      </c>
      <c r="E30" s="1" t="s">
        <v>25</v>
      </c>
      <c r="G30" s="39">
        <f t="shared" si="2"/>
        <v>4.616328612039311</v>
      </c>
    </row>
    <row r="31" spans="1:7" ht="18.75">
      <c r="A31">
        <v>30</v>
      </c>
      <c r="B31" s="38">
        <f t="shared" si="0"/>
        <v>0.99564801823970484</v>
      </c>
      <c r="C31" s="1" t="s">
        <v>25</v>
      </c>
      <c r="D31" s="6">
        <f t="shared" si="1"/>
        <v>0.99564299999999994</v>
      </c>
      <c r="E31" s="1" t="s">
        <v>25</v>
      </c>
      <c r="G31" s="39">
        <f t="shared" si="2"/>
        <v>5.0182397048903482</v>
      </c>
    </row>
    <row r="32" spans="1:7" ht="18.75">
      <c r="A32" s="1">
        <v>31</v>
      </c>
      <c r="B32" s="38">
        <f t="shared" si="0"/>
        <v>0.99534171790558335</v>
      </c>
      <c r="C32" s="1" t="s">
        <v>25</v>
      </c>
      <c r="D32" s="6">
        <f t="shared" si="1"/>
        <v>0.99533700000000003</v>
      </c>
      <c r="E32" s="1" t="s">
        <v>25</v>
      </c>
      <c r="G32" s="39">
        <f t="shared" si="2"/>
        <v>4.7179055833179717</v>
      </c>
    </row>
    <row r="33" spans="1:7" ht="18.75">
      <c r="A33">
        <v>32</v>
      </c>
      <c r="B33" s="38">
        <f t="shared" si="0"/>
        <v>0.99502685611529962</v>
      </c>
      <c r="C33" s="1" t="s">
        <v>25</v>
      </c>
      <c r="D33" s="6">
        <f t="shared" si="1"/>
        <v>0.99502299999999999</v>
      </c>
      <c r="E33" s="1" t="s">
        <v>25</v>
      </c>
      <c r="G33" s="39">
        <f t="shared" si="2"/>
        <v>3.8561152996274828</v>
      </c>
    </row>
    <row r="34" spans="1:7" ht="18.75">
      <c r="A34" s="1">
        <v>33</v>
      </c>
      <c r="B34" s="38">
        <f t="shared" si="0"/>
        <v>0.99470356776269475</v>
      </c>
      <c r="C34" s="1" t="s">
        <v>25</v>
      </c>
      <c r="D34" s="6">
        <f t="shared" si="1"/>
        <v>0.994699</v>
      </c>
      <c r="E34" s="1" t="s">
        <v>25</v>
      </c>
      <c r="G34" s="39">
        <f t="shared" si="2"/>
        <v>4.5677626947515648</v>
      </c>
    </row>
    <row r="35" spans="1:7" ht="18.75">
      <c r="A35">
        <v>34</v>
      </c>
      <c r="B35" s="38">
        <f t="shared" si="0"/>
        <v>0.99437198227796175</v>
      </c>
      <c r="C35" s="1" t="s">
        <v>25</v>
      </c>
      <c r="D35" s="6">
        <f t="shared" si="1"/>
        <v>0.99436800000000003</v>
      </c>
      <c r="E35" s="1" t="s">
        <v>25</v>
      </c>
      <c r="G35" s="39">
        <f t="shared" si="2"/>
        <v>3.98227796172268</v>
      </c>
    </row>
    <row r="36" spans="1:7" ht="18.75">
      <c r="A36" s="1">
        <v>35</v>
      </c>
      <c r="B36" s="38">
        <f t="shared" si="0"/>
        <v>0.99403222405920943</v>
      </c>
      <c r="C36" s="1" t="s">
        <v>25</v>
      </c>
      <c r="D36" s="6">
        <f t="shared" si="1"/>
        <v>0.99402800000000002</v>
      </c>
      <c r="E36" s="1" t="s">
        <v>25</v>
      </c>
      <c r="G36" s="39">
        <f t="shared" si="2"/>
        <v>4.2240592094122675</v>
      </c>
    </row>
    <row r="37" spans="1:7" ht="18.75">
      <c r="A37">
        <v>36</v>
      </c>
      <c r="B37" s="38">
        <f t="shared" si="0"/>
        <v>0.99368441290402632</v>
      </c>
      <c r="C37" s="1" t="s">
        <v>25</v>
      </c>
      <c r="D37" s="6">
        <f t="shared" si="1"/>
        <v>0.99368100000000004</v>
      </c>
      <c r="E37" s="1" t="s">
        <v>25</v>
      </c>
      <c r="G37" s="39">
        <f t="shared" si="2"/>
        <v>3.4129040262786958</v>
      </c>
    </row>
    <row r="38" spans="1:7" ht="18.75">
      <c r="A38" s="1">
        <v>37</v>
      </c>
      <c r="B38" s="38">
        <f t="shared" si="0"/>
        <v>0.99332866444104362</v>
      </c>
      <c r="C38" s="1" t="s">
        <v>25</v>
      </c>
      <c r="D38" s="6">
        <f t="shared" si="1"/>
        <v>0.99332500000000001</v>
      </c>
      <c r="E38" s="1" t="s">
        <v>25</v>
      </c>
      <c r="G38" s="39">
        <f t="shared" si="2"/>
        <v>3.6644410436048602</v>
      </c>
    </row>
    <row r="39" spans="1:7" ht="18.75">
      <c r="A39">
        <v>38</v>
      </c>
      <c r="B39" s="38">
        <f t="shared" si="0"/>
        <v>0.9929650905614994</v>
      </c>
      <c r="C39" s="1" t="s">
        <v>25</v>
      </c>
      <c r="D39" s="6">
        <f t="shared" si="1"/>
        <v>0.99296099999999998</v>
      </c>
      <c r="E39" s="1" t="s">
        <v>25</v>
      </c>
      <c r="G39" s="39">
        <f t="shared" si="2"/>
        <v>4.0905614994146688</v>
      </c>
    </row>
    <row r="40" spans="1:7" ht="18.75">
      <c r="A40" s="1">
        <v>39</v>
      </c>
      <c r="B40" s="38">
        <f t="shared" si="0"/>
        <v>0.99259379985080143</v>
      </c>
      <c r="C40" s="1" t="s">
        <v>25</v>
      </c>
      <c r="D40" s="6">
        <f t="shared" si="1"/>
        <v>0.99258999999999997</v>
      </c>
      <c r="E40" s="1" t="s">
        <v>25</v>
      </c>
      <c r="G40" s="39">
        <f t="shared" si="2"/>
        <v>3.7998508014558396</v>
      </c>
    </row>
    <row r="41" spans="1:7" ht="18.75">
      <c r="A41">
        <v>40</v>
      </c>
      <c r="B41" s="38">
        <f t="shared" si="0"/>
        <v>0.99221489802009144</v>
      </c>
      <c r="C41" s="1" t="s">
        <v>25</v>
      </c>
      <c r="D41" s="6">
        <f t="shared" si="1"/>
        <v>0.99221099999999995</v>
      </c>
      <c r="E41" s="1" t="s">
        <v>25</v>
      </c>
      <c r="G41" s="39">
        <f t="shared" si="2"/>
        <v>3.8980200914862095</v>
      </c>
    </row>
    <row r="53" spans="11:11">
      <c r="K53" t="s">
        <v>33</v>
      </c>
    </row>
    <row r="54" spans="11:11">
      <c r="K54" t="s">
        <v>34</v>
      </c>
    </row>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xcel.Sheet.8" shapeId="1026" r:id="rId4">
          <objectPr defaultSize="0" autoPict="0" r:id="rId5">
            <anchor moveWithCells="1" sizeWithCells="1">
              <from>
                <xdr:col>9</xdr:col>
                <xdr:colOff>704850</xdr:colOff>
                <xdr:row>35</xdr:row>
                <xdr:rowOff>28575</xdr:rowOff>
              </from>
              <to>
                <xdr:col>19</xdr:col>
                <xdr:colOff>666750</xdr:colOff>
                <xdr:row>51</xdr:row>
                <xdr:rowOff>104775</xdr:rowOff>
              </to>
            </anchor>
          </objectPr>
        </oleObject>
      </mc:Choice>
      <mc:Fallback>
        <oleObject progId="Excel.Sheet.8"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12</vt:i4>
      </vt:variant>
    </vt:vector>
  </HeadingPairs>
  <TitlesOfParts>
    <vt:vector size="27" baseType="lpstr">
      <vt:lpstr>Disclaimer</vt:lpstr>
      <vt:lpstr>Revisions</vt:lpstr>
      <vt:lpstr>Instructions</vt:lpstr>
      <vt:lpstr>Software V &amp; V</vt:lpstr>
      <vt:lpstr>Lookup Tables</vt:lpstr>
      <vt:lpstr>Reference Standards</vt:lpstr>
      <vt:lpstr>SOP 14, OptB </vt:lpstr>
      <vt:lpstr>CIPM Air Density 1981_91</vt:lpstr>
      <vt:lpstr>Water Density</vt:lpstr>
      <vt:lpstr>Effective Density</vt:lpstr>
      <vt:lpstr>Air Density</vt:lpstr>
      <vt:lpstr>H2O Density</vt:lpstr>
      <vt:lpstr>SOP 14, OptB Data Set 1</vt:lpstr>
      <vt:lpstr>SOP 14, OptB Data Set 2</vt:lpstr>
      <vt:lpstr>Water Density Chart</vt:lpstr>
      <vt:lpstr>DivisorList</vt:lpstr>
      <vt:lpstr>EmptyReference</vt:lpstr>
      <vt:lpstr>FilledReference</vt:lpstr>
      <vt:lpstr>MassId_Ms1List</vt:lpstr>
      <vt:lpstr>MassId_Ms2List</vt:lpstr>
      <vt:lpstr>Disclaimer!Print_Area</vt:lpstr>
      <vt:lpstr>'SOP 14, OptB '!Print_Area</vt:lpstr>
      <vt:lpstr>'SOP 14, OptB Data Set 1'!Print_Area</vt:lpstr>
      <vt:lpstr>'SOP 14, OptB Data Set 2'!Print_Area</vt:lpstr>
      <vt:lpstr>ProbabilityList</vt:lpstr>
      <vt:lpstr>UncTypeList</vt:lpstr>
      <vt:lpstr>Units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 L. Harris</dc:creator>
  <cp:lastModifiedBy>Harris, Georgia L.</cp:lastModifiedBy>
  <cp:lastPrinted>2013-01-14T15:22:57Z</cp:lastPrinted>
  <dcterms:created xsi:type="dcterms:W3CDTF">2003-03-08T20:22:50Z</dcterms:created>
  <dcterms:modified xsi:type="dcterms:W3CDTF">2016-09-09T21:19:25Z</dcterms:modified>
</cp:coreProperties>
</file>