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xls" ContentType="application/vnd.ms-exce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chartsheets/sheet1.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comments1.xml" ContentType="application/vnd.openxmlformats-officedocument.spreadsheetml.comments+xml"/>
  <Override PartName="/xl/drawings/drawing2.xml" ContentType="application/vnd.openxmlformats-officedocument.drawing+xml"/>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comments2.xml" ContentType="application/vnd.openxmlformats-officedocument.spreadsheetml.comments+xml"/>
  <Override PartName="/xl/drawings/drawing3.xml" ContentType="application/vnd.openxmlformats-officedocument.drawing+xml"/>
  <Override PartName="/xl/embeddings/oleObject7.bin" ContentType="application/vnd.openxmlformats-officedocument.oleObject"/>
  <Override PartName="/xl/embeddings/oleObject8.bin" ContentType="application/vnd.openxmlformats-officedocument.oleObject"/>
  <Override PartName="/xl/embeddings/oleObject9.bin" ContentType="application/vnd.openxmlformats-officedocument.oleObject"/>
  <Override PartName="/xl/comments3.xml" ContentType="application/vnd.openxmlformats-officedocument.spreadsheetml.comments+xml"/>
  <Override PartName="/xl/drawings/drawing4.xml" ContentType="application/vnd.openxmlformats-officedocument.drawing+xml"/>
  <Override PartName="/xl/embeddings/oleObject10.bin" ContentType="application/vnd.openxmlformats-officedocument.oleObject"/>
  <Override PartName="/xl/embeddings/oleObject11.bin" ContentType="application/vnd.openxmlformats-officedocument.oleObject"/>
  <Override PartName="/xl/embeddings/oleObject12.bin" ContentType="application/vnd.openxmlformats-officedocument.oleObject"/>
  <Override PartName="/xl/comments4.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heckCompatibility="1"/>
  <bookViews>
    <workbookView xWindow="375" yWindow="165" windowWidth="19770" windowHeight="12300" tabRatio="923" activeTab="3"/>
  </bookViews>
  <sheets>
    <sheet name="Documentation" sheetId="6" r:id="rId1"/>
    <sheet name="SOP 14, OptA Data Set 1" sheetId="12" r:id="rId2"/>
    <sheet name="SOP 14, OptA Data Set 2" sheetId="20" r:id="rId3"/>
    <sheet name="TD Glassware, SOP 14, OptA" sheetId="21" r:id="rId4"/>
    <sheet name="TC Glassware, SOP 14, OptA" sheetId="22" r:id="rId5"/>
    <sheet name="CIPM Air Density 1981_91" sheetId="3" state="hidden" r:id="rId6"/>
    <sheet name="Water Density" sheetId="4" state="hidden" r:id="rId7"/>
    <sheet name="Water Density Chart" sheetId="5" state="hidden" r:id="rId8"/>
  </sheets>
  <definedNames>
    <definedName name="_Table1_In1" localSheetId="1" hidden="1">'SOP 14, OptA Data Set 1'!#REF!</definedName>
    <definedName name="_Table1_In1" localSheetId="2" hidden="1">'SOP 14, OptA Data Set 2'!#REF!</definedName>
    <definedName name="_Table1_In1" localSheetId="4" hidden="1">'TC Glassware, SOP 14, OptA'!#REF!</definedName>
    <definedName name="_Table1_In1" localSheetId="3" hidden="1">'TD Glassware, SOP 14, OptA'!#REF!</definedName>
    <definedName name="_Table1_In1" hidden="1">#REF!</definedName>
    <definedName name="_Table1_In2" localSheetId="1" hidden="1">#REF!</definedName>
    <definedName name="_Table1_In2" localSheetId="2" hidden="1">#REF!</definedName>
    <definedName name="_Table1_In2" localSheetId="4" hidden="1">#REF!</definedName>
    <definedName name="_Table1_In2" localSheetId="3" hidden="1">#REF!</definedName>
    <definedName name="_Table1_In2" hidden="1">#REF!</definedName>
    <definedName name="_Table1_Out" localSheetId="1" hidden="1">'SOP 14, OptA Data Set 1'!#REF!</definedName>
    <definedName name="_Table1_Out" localSheetId="2" hidden="1">'SOP 14, OptA Data Set 2'!#REF!</definedName>
    <definedName name="_Table1_Out" localSheetId="4" hidden="1">'TC Glassware, SOP 14, OptA'!#REF!</definedName>
    <definedName name="_Table1_Out" localSheetId="3" hidden="1">'TD Glassware, SOP 14, OptA'!#REF!</definedName>
    <definedName name="_Table1_Out" hidden="1">#REF!</definedName>
    <definedName name="_Table2_In1" localSheetId="1" hidden="1">'SOP 14, OptA Data Set 1'!#REF!</definedName>
    <definedName name="_Table2_In1" localSheetId="2" hidden="1">'SOP 14, OptA Data Set 2'!#REF!</definedName>
    <definedName name="_Table2_In1" localSheetId="4" hidden="1">'TC Glassware, SOP 14, OptA'!#REF!</definedName>
    <definedName name="_Table2_In1" localSheetId="3" hidden="1">'TD Glassware, SOP 14, OptA'!#REF!</definedName>
    <definedName name="_Table2_In1" hidden="1">#REF!</definedName>
    <definedName name="_Table2_In2" localSheetId="1" hidden="1">#REF!</definedName>
    <definedName name="_Table2_In2" localSheetId="2" hidden="1">#REF!</definedName>
    <definedName name="_Table2_In2" localSheetId="4" hidden="1">#REF!</definedName>
    <definedName name="_Table2_In2" localSheetId="3" hidden="1">#REF!</definedName>
    <definedName name="_Table2_In2" hidden="1">#REF!</definedName>
    <definedName name="_Table2_Out" localSheetId="1" hidden="1">'SOP 14, OptA Data Set 1'!#REF!</definedName>
    <definedName name="_Table2_Out" localSheetId="2" hidden="1">'SOP 14, OptA Data Set 2'!#REF!</definedName>
    <definedName name="_Table2_Out" localSheetId="4" hidden="1">'TC Glassware, SOP 14, OptA'!#REF!</definedName>
    <definedName name="_Table2_Out" localSheetId="3" hidden="1">'TD Glassware, SOP 14, OptA'!#REF!</definedName>
    <definedName name="_Table2_Out" hidden="1">#REF!</definedName>
    <definedName name="_Table2_Out2" localSheetId="1" hidden="1">#REF!</definedName>
    <definedName name="_Table2_Out2" localSheetId="2" hidden="1">#REF!</definedName>
    <definedName name="_Table2_Out2" localSheetId="4" hidden="1">#REF!</definedName>
    <definedName name="_Table2_Out2" localSheetId="3" hidden="1">#REF!</definedName>
    <definedName name="_Table2_Out2" hidden="1">#REF!</definedName>
    <definedName name="_xlnm.Print_Area" localSheetId="0">Documentation!$A$1:$B$22</definedName>
    <definedName name="_xlnm.Print_Area" localSheetId="1">'SOP 14, OptA Data Set 1'!$A$1:$J$77</definedName>
    <definedName name="_xlnm.Print_Area" localSheetId="2">'SOP 14, OptA Data Set 2'!$A$1:$J$77</definedName>
    <definedName name="_xlnm.Print_Area" localSheetId="4">'TC Glassware, SOP 14, OptA'!$A$1:$J$77</definedName>
    <definedName name="_xlnm.Print_Area" localSheetId="3">'TD Glassware, SOP 14, OptA'!$A$1:$J$77</definedName>
  </definedNames>
  <calcPr calcId="145621"/>
</workbook>
</file>

<file path=xl/calcChain.xml><?xml version="1.0" encoding="utf-8"?>
<calcChain xmlns="http://schemas.openxmlformats.org/spreadsheetml/2006/main">
  <c r="C51" i="21" l="1"/>
  <c r="C50" i="21"/>
  <c r="B64" i="22"/>
  <c r="D64" i="22" s="1"/>
  <c r="F64" i="22" s="1"/>
  <c r="B64" i="21"/>
  <c r="D64" i="21" s="1"/>
  <c r="F64" i="21" s="1"/>
  <c r="B72" i="22"/>
  <c r="B72" i="21"/>
  <c r="B72" i="20"/>
  <c r="B72" i="12"/>
  <c r="B64" i="12"/>
  <c r="B64" i="20"/>
  <c r="D64" i="20" s="1"/>
  <c r="F64" i="20" s="1"/>
  <c r="C51" i="20"/>
  <c r="C50" i="20"/>
  <c r="D64" i="12"/>
  <c r="F64" i="12" s="1"/>
  <c r="C51" i="12"/>
  <c r="C50" i="12"/>
  <c r="C44" i="22" l="1"/>
  <c r="D58" i="21" l="1"/>
  <c r="D58" i="22"/>
  <c r="C51" i="22" l="1"/>
  <c r="C50" i="22"/>
  <c r="C75" i="22"/>
  <c r="H71" i="22"/>
  <c r="B71" i="22"/>
  <c r="B70" i="22"/>
  <c r="B69" i="22"/>
  <c r="H69" i="22" s="1"/>
  <c r="G67" i="22"/>
  <c r="H66" i="22"/>
  <c r="G66" i="22"/>
  <c r="B66" i="22"/>
  <c r="B65" i="22"/>
  <c r="D65" i="22" s="1"/>
  <c r="F65" i="22" s="1"/>
  <c r="C58" i="22"/>
  <c r="C48" i="22"/>
  <c r="C47" i="22"/>
  <c r="C45" i="22"/>
  <c r="G68" i="22"/>
  <c r="E20" i="22"/>
  <c r="D20" i="22"/>
  <c r="B63" i="22" s="1"/>
  <c r="D63" i="22" s="1"/>
  <c r="F63" i="22" s="1"/>
  <c r="C20" i="22"/>
  <c r="B20" i="22"/>
  <c r="G19" i="22"/>
  <c r="G18" i="22"/>
  <c r="G17" i="22"/>
  <c r="G16" i="22"/>
  <c r="G20" i="22" s="1"/>
  <c r="F20" i="22" s="1"/>
  <c r="G11" i="22"/>
  <c r="E11" i="22"/>
  <c r="D11" i="22"/>
  <c r="E10" i="22"/>
  <c r="C41" i="22" s="1"/>
  <c r="D10" i="22"/>
  <c r="C40" i="22" s="1"/>
  <c r="G9" i="22"/>
  <c r="E9" i="22"/>
  <c r="D9" i="22"/>
  <c r="C75" i="21"/>
  <c r="B71" i="21"/>
  <c r="B70" i="21"/>
  <c r="B69" i="21"/>
  <c r="G67" i="21"/>
  <c r="H66" i="21"/>
  <c r="G66" i="21"/>
  <c r="B66" i="21"/>
  <c r="B65" i="21"/>
  <c r="D65" i="21" s="1"/>
  <c r="F65" i="21" s="1"/>
  <c r="C58" i="21"/>
  <c r="C48" i="21"/>
  <c r="C47" i="21"/>
  <c r="C45" i="21"/>
  <c r="C44" i="21"/>
  <c r="G68" i="21" s="1"/>
  <c r="E20" i="21"/>
  <c r="D20" i="21"/>
  <c r="B63" i="21" s="1"/>
  <c r="D63" i="21" s="1"/>
  <c r="F63" i="21" s="1"/>
  <c r="C20" i="21"/>
  <c r="B20" i="21"/>
  <c r="G19" i="21"/>
  <c r="G18" i="21"/>
  <c r="G17" i="21"/>
  <c r="G16" i="21"/>
  <c r="G20" i="21" s="1"/>
  <c r="F20" i="21" s="1"/>
  <c r="E11" i="21"/>
  <c r="D11" i="21"/>
  <c r="G11" i="21" s="1"/>
  <c r="H71" i="21" s="1"/>
  <c r="E10" i="21"/>
  <c r="C41" i="21" s="1"/>
  <c r="C55" i="21" s="1"/>
  <c r="D10" i="21"/>
  <c r="C40" i="21" s="1"/>
  <c r="G9" i="21"/>
  <c r="H69" i="21" s="1"/>
  <c r="E9" i="21"/>
  <c r="D9" i="21"/>
  <c r="C75" i="20"/>
  <c r="B71" i="20"/>
  <c r="B70" i="20"/>
  <c r="B69" i="20"/>
  <c r="G67" i="20"/>
  <c r="B66" i="20"/>
  <c r="G66" i="20" s="1"/>
  <c r="B65" i="20"/>
  <c r="D65" i="20" s="1"/>
  <c r="F65" i="20" s="1"/>
  <c r="C58" i="20"/>
  <c r="C48" i="20"/>
  <c r="C47" i="20"/>
  <c r="C45" i="20"/>
  <c r="C44" i="20"/>
  <c r="G68" i="20" s="1"/>
  <c r="E20" i="20"/>
  <c r="D20" i="20"/>
  <c r="B20" i="20"/>
  <c r="G19" i="20"/>
  <c r="G18" i="20"/>
  <c r="G17" i="20"/>
  <c r="G16" i="20"/>
  <c r="G20" i="20" s="1"/>
  <c r="F20" i="20" s="1"/>
  <c r="C20" i="20"/>
  <c r="E11" i="20"/>
  <c r="D11" i="20"/>
  <c r="G11" i="20" s="1"/>
  <c r="E10" i="20"/>
  <c r="D10" i="20"/>
  <c r="G10" i="20" s="1"/>
  <c r="E9" i="20"/>
  <c r="D9" i="20"/>
  <c r="C58" i="12"/>
  <c r="H71" i="20" l="1"/>
  <c r="H66" i="20"/>
  <c r="C55" i="22"/>
  <c r="D68" i="22"/>
  <c r="F68" i="22" s="1"/>
  <c r="D73" i="22"/>
  <c r="F73" i="22" s="1"/>
  <c r="D72" i="22"/>
  <c r="F72" i="22" s="1"/>
  <c r="G10" i="22"/>
  <c r="D73" i="21"/>
  <c r="F73" i="21" s="1"/>
  <c r="D68" i="21"/>
  <c r="F68" i="21" s="1"/>
  <c r="D72" i="21"/>
  <c r="F72" i="21" s="1"/>
  <c r="G10" i="21"/>
  <c r="C41" i="20"/>
  <c r="C55" i="20" s="1"/>
  <c r="C40" i="20"/>
  <c r="D72" i="20" s="1"/>
  <c r="F72" i="20" s="1"/>
  <c r="B63" i="20"/>
  <c r="D63" i="20" s="1"/>
  <c r="F63" i="20" s="1"/>
  <c r="G9" i="20"/>
  <c r="H69" i="20" s="1"/>
  <c r="G69" i="20" s="1"/>
  <c r="H70" i="20"/>
  <c r="C16" i="12"/>
  <c r="G70" i="20" l="1"/>
  <c r="D70" i="20" s="1"/>
  <c r="F70" i="20" s="1"/>
  <c r="D69" i="20"/>
  <c r="F69" i="20" s="1"/>
  <c r="G71" i="20"/>
  <c r="D71" i="20" s="1"/>
  <c r="F71" i="20" s="1"/>
  <c r="D67" i="20"/>
  <c r="F67" i="20" s="1"/>
  <c r="D73" i="20"/>
  <c r="F73" i="20" s="1"/>
  <c r="D68" i="20"/>
  <c r="F68" i="20" s="1"/>
  <c r="G71" i="22"/>
  <c r="D71" i="22" s="1"/>
  <c r="F71" i="22" s="1"/>
  <c r="G69" i="22"/>
  <c r="D69" i="22" s="1"/>
  <c r="F69" i="22" s="1"/>
  <c r="H70" i="22"/>
  <c r="G70" i="22" s="1"/>
  <c r="D70" i="22" s="1"/>
  <c r="F70" i="22" s="1"/>
  <c r="D67" i="22"/>
  <c r="F67" i="22" s="1"/>
  <c r="C54" i="22"/>
  <c r="D66" i="22"/>
  <c r="F66" i="22" s="1"/>
  <c r="G71" i="21"/>
  <c r="D71" i="21" s="1"/>
  <c r="F71" i="21" s="1"/>
  <c r="G69" i="21"/>
  <c r="D69" i="21" s="1"/>
  <c r="F69" i="21" s="1"/>
  <c r="H70" i="21"/>
  <c r="G70" i="21" s="1"/>
  <c r="D70" i="21" s="1"/>
  <c r="F70" i="21" s="1"/>
  <c r="D67" i="21"/>
  <c r="F67" i="21" s="1"/>
  <c r="C54" i="21"/>
  <c r="D66" i="21"/>
  <c r="F66" i="21" s="1"/>
  <c r="C75" i="12"/>
  <c r="B71" i="12"/>
  <c r="B70" i="12"/>
  <c r="B69" i="12"/>
  <c r="G67" i="12"/>
  <c r="B66" i="12"/>
  <c r="H66" i="12" s="1"/>
  <c r="B65" i="12"/>
  <c r="D65" i="12" s="1"/>
  <c r="F65" i="12" s="1"/>
  <c r="C48" i="12"/>
  <c r="C47" i="12"/>
  <c r="C45" i="12"/>
  <c r="C44" i="12"/>
  <c r="G68" i="12" s="1"/>
  <c r="E20" i="12"/>
  <c r="D20" i="12"/>
  <c r="C20" i="12"/>
  <c r="B20" i="12"/>
  <c r="G19" i="12"/>
  <c r="G18" i="12"/>
  <c r="G17" i="12"/>
  <c r="G16" i="12"/>
  <c r="E11" i="12"/>
  <c r="D11" i="12"/>
  <c r="E10" i="12"/>
  <c r="D10" i="12"/>
  <c r="E9" i="12"/>
  <c r="D9" i="12"/>
  <c r="F74" i="22" l="1"/>
  <c r="F75" i="22" s="1"/>
  <c r="C54" i="20"/>
  <c r="C57" i="20" s="1"/>
  <c r="D58" i="20" s="1"/>
  <c r="D66" i="20"/>
  <c r="F66" i="20" s="1"/>
  <c r="F74" i="20" s="1"/>
  <c r="F75" i="20" s="1"/>
  <c r="C57" i="22"/>
  <c r="C57" i="21"/>
  <c r="F74" i="21"/>
  <c r="F75" i="21" s="1"/>
  <c r="G66" i="12"/>
  <c r="B63" i="12"/>
  <c r="D63" i="12" s="1"/>
  <c r="F63" i="12" s="1"/>
  <c r="G20" i="12"/>
  <c r="F20" i="12" s="1"/>
  <c r="G11" i="12"/>
  <c r="H71" i="12" s="1"/>
  <c r="C41" i="12"/>
  <c r="G9" i="12"/>
  <c r="H69" i="12" s="1"/>
  <c r="C40" i="12"/>
  <c r="G10" i="12"/>
  <c r="C36" i="21" l="1"/>
  <c r="C35" i="21"/>
  <c r="C36" i="20"/>
  <c r="C35" i="20"/>
  <c r="C36" i="22"/>
  <c r="C35" i="22"/>
  <c r="C54" i="12"/>
  <c r="C55" i="12"/>
  <c r="D73" i="12"/>
  <c r="F73" i="12" s="1"/>
  <c r="D72" i="12"/>
  <c r="F72" i="12" s="1"/>
  <c r="F74" i="12" s="1"/>
  <c r="D68" i="12"/>
  <c r="F68" i="12" s="1"/>
  <c r="G71" i="12"/>
  <c r="D71" i="12" s="1"/>
  <c r="F71" i="12" s="1"/>
  <c r="G69" i="12"/>
  <c r="D69" i="12" s="1"/>
  <c r="F69" i="12" s="1"/>
  <c r="H70" i="12"/>
  <c r="G70" i="12" s="1"/>
  <c r="D70" i="12" s="1"/>
  <c r="F70" i="12" s="1"/>
  <c r="C57" i="12" l="1"/>
  <c r="D58" i="12" s="1"/>
  <c r="D67" i="12"/>
  <c r="F67" i="12" s="1"/>
  <c r="D66" i="12"/>
  <c r="F66" i="12" s="1"/>
  <c r="F75" i="12" l="1"/>
  <c r="C35" i="12" l="1"/>
  <c r="C36" i="12"/>
  <c r="B41" i="4"/>
  <c r="G41" i="4" s="1"/>
  <c r="B40" i="4"/>
  <c r="G40" i="4" s="1"/>
  <c r="B39" i="4"/>
  <c r="G39" i="4" s="1"/>
  <c r="B38" i="4"/>
  <c r="B37" i="4"/>
  <c r="B36" i="4"/>
  <c r="B35" i="4"/>
  <c r="B34" i="4"/>
  <c r="B33" i="4"/>
  <c r="G33" i="4" s="1"/>
  <c r="B32" i="4"/>
  <c r="G32" i="4" s="1"/>
  <c r="B31" i="4"/>
  <c r="G31" i="4" s="1"/>
  <c r="B30" i="4"/>
  <c r="B29" i="4"/>
  <c r="B28" i="4"/>
  <c r="B27" i="4"/>
  <c r="B26" i="4"/>
  <c r="B25" i="4"/>
  <c r="G25" i="4" s="1"/>
  <c r="B24" i="4"/>
  <c r="G24" i="4" s="1"/>
  <c r="B23" i="4"/>
  <c r="G23" i="4" s="1"/>
  <c r="B22" i="4"/>
  <c r="B21" i="4"/>
  <c r="B20" i="4"/>
  <c r="B19" i="4"/>
  <c r="B18" i="4"/>
  <c r="B17" i="4"/>
  <c r="G17" i="4" s="1"/>
  <c r="B16" i="4"/>
  <c r="G16" i="4" s="1"/>
  <c r="B15" i="4"/>
  <c r="G15" i="4" s="1"/>
  <c r="B14" i="4"/>
  <c r="B13" i="4"/>
  <c r="B12" i="4"/>
  <c r="B11" i="4"/>
  <c r="B10" i="4"/>
  <c r="B9" i="4"/>
  <c r="G9" i="4" s="1"/>
  <c r="B8" i="4"/>
  <c r="G8" i="4" s="1"/>
  <c r="B7" i="4"/>
  <c r="G7" i="4" s="1"/>
  <c r="B6" i="4"/>
  <c r="F5" i="3"/>
  <c r="F6" i="3"/>
  <c r="F7" i="3"/>
  <c r="C8" i="3"/>
  <c r="E8" i="3"/>
  <c r="D41" i="4"/>
  <c r="D40" i="4"/>
  <c r="D39" i="4"/>
  <c r="D38" i="4"/>
  <c r="G38" i="4"/>
  <c r="D37" i="4"/>
  <c r="G37" i="4"/>
  <c r="D36" i="4"/>
  <c r="G36" i="4"/>
  <c r="D35" i="4"/>
  <c r="G35" i="4"/>
  <c r="D34" i="4"/>
  <c r="G34" i="4"/>
  <c r="D33" i="4"/>
  <c r="D32" i="4"/>
  <c r="D31" i="4"/>
  <c r="D30" i="4"/>
  <c r="G30" i="4"/>
  <c r="D29" i="4"/>
  <c r="G29" i="4"/>
  <c r="D28" i="4"/>
  <c r="G28" i="4"/>
  <c r="D27" i="4"/>
  <c r="G27" i="4"/>
  <c r="D26" i="4"/>
  <c r="G26" i="4"/>
  <c r="D25" i="4"/>
  <c r="D24" i="4"/>
  <c r="D23" i="4"/>
  <c r="D22" i="4"/>
  <c r="G22" i="4"/>
  <c r="D21" i="4"/>
  <c r="G21" i="4"/>
  <c r="D20" i="4"/>
  <c r="G20" i="4"/>
  <c r="D19" i="4"/>
  <c r="G19" i="4"/>
  <c r="D18" i="4"/>
  <c r="G18" i="4"/>
  <c r="D17" i="4"/>
  <c r="D16" i="4"/>
  <c r="D15" i="4"/>
  <c r="D14" i="4"/>
  <c r="G14" i="4"/>
  <c r="D13" i="4"/>
  <c r="G13" i="4"/>
  <c r="D12" i="4"/>
  <c r="G12" i="4"/>
  <c r="D11" i="4"/>
  <c r="G11" i="4"/>
  <c r="D10" i="4"/>
  <c r="G10" i="4"/>
  <c r="D9" i="4"/>
  <c r="D8" i="4"/>
  <c r="D7" i="4"/>
  <c r="D6" i="4"/>
  <c r="G6" i="4"/>
</calcChain>
</file>

<file path=xl/comments1.xml><?xml version="1.0" encoding="utf-8"?>
<comments xmlns="http://schemas.openxmlformats.org/spreadsheetml/2006/main">
  <authors>
    <author>Georgia</author>
  </authors>
  <commentList>
    <comment ref="I27" authorId="0">
      <text>
        <r>
          <rPr>
            <sz val="9"/>
            <color indexed="81"/>
            <rFont val="Tahoma"/>
            <family val="2"/>
          </rPr>
          <t>Determine before emptying flask.</t>
        </r>
      </text>
    </comment>
    <comment ref="I32" authorId="0">
      <text>
        <r>
          <rPr>
            <sz val="9"/>
            <color indexed="81"/>
            <rFont val="Tahoma"/>
            <family val="2"/>
          </rPr>
          <t>Determine before emptying flask.</t>
        </r>
      </text>
    </comment>
  </commentList>
</comments>
</file>

<file path=xl/comments2.xml><?xml version="1.0" encoding="utf-8"?>
<comments xmlns="http://schemas.openxmlformats.org/spreadsheetml/2006/main">
  <authors>
    <author>Georgia</author>
  </authors>
  <commentList>
    <comment ref="I27" authorId="0">
      <text>
        <r>
          <rPr>
            <sz val="9"/>
            <color indexed="81"/>
            <rFont val="Tahoma"/>
            <family val="2"/>
          </rPr>
          <t>Determine before emptying flask.</t>
        </r>
      </text>
    </comment>
    <comment ref="I32" authorId="0">
      <text>
        <r>
          <rPr>
            <sz val="9"/>
            <color indexed="81"/>
            <rFont val="Tahoma"/>
            <family val="2"/>
          </rPr>
          <t>Determine before emptying flask.</t>
        </r>
      </text>
    </comment>
  </commentList>
</comments>
</file>

<file path=xl/comments3.xml><?xml version="1.0" encoding="utf-8"?>
<comments xmlns="http://schemas.openxmlformats.org/spreadsheetml/2006/main">
  <authors>
    <author>Georgia</author>
  </authors>
  <commentList>
    <comment ref="I27" authorId="0">
      <text>
        <r>
          <rPr>
            <sz val="9"/>
            <color indexed="81"/>
            <rFont val="Tahoma"/>
            <family val="2"/>
          </rPr>
          <t>Determine before emptying flask.</t>
        </r>
      </text>
    </comment>
    <comment ref="I32" authorId="0">
      <text>
        <r>
          <rPr>
            <sz val="9"/>
            <color indexed="81"/>
            <rFont val="Tahoma"/>
            <family val="2"/>
          </rPr>
          <t>Determine before emptying flask.</t>
        </r>
      </text>
    </comment>
  </commentList>
</comments>
</file>

<file path=xl/comments4.xml><?xml version="1.0" encoding="utf-8"?>
<comments xmlns="http://schemas.openxmlformats.org/spreadsheetml/2006/main">
  <authors>
    <author>Georgia</author>
  </authors>
  <commentList>
    <comment ref="I27" authorId="0">
      <text>
        <r>
          <rPr>
            <sz val="9"/>
            <color indexed="81"/>
            <rFont val="Tahoma"/>
            <family val="2"/>
          </rPr>
          <t>Determine before emptying flask.</t>
        </r>
      </text>
    </comment>
    <comment ref="I32" authorId="0">
      <text>
        <r>
          <rPr>
            <sz val="9"/>
            <color indexed="81"/>
            <rFont val="Tahoma"/>
            <family val="2"/>
          </rPr>
          <t>Determine before emptying flask.</t>
        </r>
      </text>
    </comment>
  </commentList>
</comments>
</file>

<file path=xl/sharedStrings.xml><?xml version="1.0" encoding="utf-8"?>
<sst xmlns="http://schemas.openxmlformats.org/spreadsheetml/2006/main" count="748" uniqueCount="171">
  <si>
    <t xml:space="preserve">      **  Calculated Air Density  **</t>
  </si>
  <si>
    <t xml:space="preserve">      **  Calculated Water Density  **</t>
  </si>
  <si>
    <t xml:space="preserve">      **  Calculated Temperature Correction  **</t>
  </si>
  <si>
    <t xml:space="preserve">Password to unlock: </t>
  </si>
  <si>
    <t>metrology</t>
  </si>
  <si>
    <t>Do not delete these cells</t>
  </si>
  <si>
    <t>Air Density Calculation</t>
  </si>
  <si>
    <t>They are used to calculate air density.</t>
  </si>
  <si>
    <t xml:space="preserve"> Barometric Pressure:</t>
  </si>
  <si>
    <t>mm Hg</t>
  </si>
  <si>
    <t>Pa</t>
  </si>
  <si>
    <t xml:space="preserve"> Temperature:</t>
  </si>
  <si>
    <t>°C</t>
  </si>
  <si>
    <t>°K</t>
  </si>
  <si>
    <t xml:space="preserve"> Relative Humidity:</t>
  </si>
  <si>
    <t>%</t>
  </si>
  <si>
    <t xml:space="preserve"> Calculated Air Density:</t>
  </si>
  <si>
    <t xml:space="preserve">NOTE:  When copying these cells into a spreadsheet, they must be pasted into exactly </t>
  </si>
  <si>
    <t>the same cells on a new worksheet (i.e., the block from A3 to G7).</t>
  </si>
  <si>
    <t xml:space="preserve">Cell references in the equations are "absolute" and fixed to the reference cells in each equation.  </t>
  </si>
  <si>
    <t>Once the cells are pasted, the entire block may be dragged/dropped.</t>
  </si>
  <si>
    <r>
      <t>mg/cm</t>
    </r>
    <r>
      <rPr>
        <vertAlign val="superscript"/>
        <sz val="12"/>
        <rFont val="Times New Roman"/>
        <family val="1"/>
      </rPr>
      <t>3</t>
    </r>
  </si>
  <si>
    <r>
      <t>g/cm</t>
    </r>
    <r>
      <rPr>
        <vertAlign val="superscript"/>
        <sz val="12"/>
        <rFont val="Times New Roman"/>
        <family val="1"/>
      </rPr>
      <t>3</t>
    </r>
  </si>
  <si>
    <t>C</t>
  </si>
  <si>
    <t>Water Density</t>
  </si>
  <si>
    <r>
      <t>g/m</t>
    </r>
    <r>
      <rPr>
        <vertAlign val="superscript"/>
        <sz val="12"/>
        <rFont val="Times New Roman"/>
        <family val="1"/>
      </rPr>
      <t>3</t>
    </r>
  </si>
  <si>
    <t>A</t>
  </si>
  <si>
    <t>B</t>
  </si>
  <si>
    <t>D</t>
  </si>
  <si>
    <t>E</t>
  </si>
  <si>
    <t>T0</t>
  </si>
  <si>
    <t>P0</t>
  </si>
  <si>
    <t>Patterson/Morris (1994), Air-free</t>
  </si>
  <si>
    <t>Jones, F.E., and Harris, G. L. ITS-90 Density of Water Formulation for</t>
  </si>
  <si>
    <t>Volumetric Standards Calibration, NIST Jrnl of Research, 97, 335-340 (1992).</t>
  </si>
  <si>
    <t>Jones/Harris (1992), Air-saturated</t>
  </si>
  <si>
    <t>Water Temp - C</t>
  </si>
  <si>
    <t>Difference</t>
  </si>
  <si>
    <t>ppm</t>
  </si>
  <si>
    <t>mL</t>
  </si>
  <si>
    <t>Run 1</t>
  </si>
  <si>
    <t>Run 2</t>
  </si>
  <si>
    <t>Run 1: Temperature Correction Factor:</t>
  </si>
  <si>
    <t>Run 2: Temperature Correction Factor:</t>
  </si>
  <si>
    <t>g</t>
  </si>
  <si>
    <t>Mass</t>
  </si>
  <si>
    <t>Value</t>
  </si>
  <si>
    <t>Unit</t>
  </si>
  <si>
    <t>Distribution</t>
  </si>
  <si>
    <t>Value (mL)</t>
  </si>
  <si>
    <t>Normal</t>
  </si>
  <si>
    <t>Water Temp</t>
  </si>
  <si>
    <t>Pressure</t>
  </si>
  <si>
    <t>RH</t>
  </si>
  <si>
    <t>Air Density</t>
  </si>
  <si>
    <t>Mass Density</t>
  </si>
  <si>
    <t>Rectangular</t>
  </si>
  <si>
    <t>Combined</t>
  </si>
  <si>
    <t>**  rounded to 6 digits</t>
  </si>
  <si>
    <t>**  rounded to 8 digits</t>
  </si>
  <si>
    <t>Coeff. of Cubical Exp.</t>
  </si>
  <si>
    <t>Documentation</t>
  </si>
  <si>
    <t>This spreadsheet was originally created by modifying the 3-1 weighing design spreadsheet.</t>
  </si>
  <si>
    <t>to the example in SOP 14 for the 2 L flask.</t>
  </si>
  <si>
    <t>**  rounded to 9 digits</t>
  </si>
  <si>
    <t>Values were compared to the WA volume spreadsheets, intermediate calculations, and</t>
  </si>
  <si>
    <t>Disclaimer</t>
  </si>
  <si>
    <t xml:space="preserve">It contains the equations from SOP 14 for 1 pt and 2 pt calibrations and for 20 °C and 60 °F </t>
  </si>
  <si>
    <t>reference temperatures.  The Glassware reference is with 1 pt calibration to 20 °C.</t>
  </si>
  <si>
    <t>The 5 Gallon Slicker reference is with a 2 pt calibration and 60 °F.</t>
  </si>
  <si>
    <t>Operator</t>
  </si>
  <si>
    <t>Material</t>
  </si>
  <si>
    <t>Date</t>
  </si>
  <si>
    <t>Before</t>
  </si>
  <si>
    <t>After</t>
  </si>
  <si>
    <t>Balance</t>
  </si>
  <si>
    <t>Degrees of Freedom</t>
  </si>
  <si>
    <t>Cubical Coefficient of Expansion / °C</t>
  </si>
  <si>
    <t>Mass standard(s) data:</t>
  </si>
  <si>
    <t>S</t>
  </si>
  <si>
    <t>Filled</t>
  </si>
  <si>
    <t>GRAVIMETRIC CALIBRATION SOP 14, OPTION A</t>
  </si>
  <si>
    <t>Balance Observations, Units:</t>
  </si>
  <si>
    <t>20 °C Reference Temperature</t>
  </si>
  <si>
    <r>
      <t>g/cm</t>
    </r>
    <r>
      <rPr>
        <vertAlign val="superscript"/>
        <sz val="10"/>
        <rFont val="Times New Roman"/>
        <family val="1"/>
      </rPr>
      <t>3</t>
    </r>
  </si>
  <si>
    <r>
      <t>Run 1: Water Density (g/cm</t>
    </r>
    <r>
      <rPr>
        <vertAlign val="superscript"/>
        <sz val="10"/>
        <rFont val="Times New Roman"/>
        <family val="1"/>
      </rPr>
      <t>3</t>
    </r>
    <r>
      <rPr>
        <sz val="10"/>
        <rFont val="Times New Roman"/>
        <family val="1"/>
      </rPr>
      <t>):</t>
    </r>
  </si>
  <si>
    <r>
      <t xml:space="preserve">*Mass Correction = </t>
    </r>
    <r>
      <rPr>
        <i/>
        <sz val="10"/>
        <rFont val="Times New Roman"/>
        <family val="1"/>
      </rPr>
      <t>True Mass!</t>
    </r>
    <r>
      <rPr>
        <sz val="10"/>
        <rFont val="Times New Roman"/>
        <family val="1"/>
      </rPr>
      <t xml:space="preserve"> Density is required for buoyancy corrections.</t>
    </r>
  </si>
  <si>
    <r>
      <t>Run 2: Water Density (g/cm</t>
    </r>
    <r>
      <rPr>
        <vertAlign val="superscript"/>
        <sz val="10"/>
        <rFont val="Times New Roman"/>
        <family val="1"/>
      </rPr>
      <t>3</t>
    </r>
    <r>
      <rPr>
        <sz val="10"/>
        <rFont val="Times New Roman"/>
        <family val="1"/>
      </rPr>
      <t>):</t>
    </r>
  </si>
  <si>
    <r>
      <t>mg/cm</t>
    </r>
    <r>
      <rPr>
        <vertAlign val="superscript"/>
        <sz val="10"/>
        <rFont val="Times New Roman"/>
        <family val="1"/>
      </rPr>
      <t>3</t>
    </r>
  </si>
  <si>
    <r>
      <t>O</t>
    </r>
    <r>
      <rPr>
        <vertAlign val="subscript"/>
        <sz val="10"/>
        <rFont val="Times New Roman"/>
        <family val="1"/>
      </rPr>
      <t>1</t>
    </r>
  </si>
  <si>
    <r>
      <t>M</t>
    </r>
    <r>
      <rPr>
        <i/>
        <vertAlign val="subscript"/>
        <sz val="10"/>
        <rFont val="Times New Roman"/>
        <family val="1"/>
      </rPr>
      <t>S</t>
    </r>
  </si>
  <si>
    <r>
      <t>O</t>
    </r>
    <r>
      <rPr>
        <vertAlign val="subscript"/>
        <sz val="10"/>
        <rFont val="Times New Roman"/>
        <family val="1"/>
      </rPr>
      <t>2</t>
    </r>
  </si>
  <si>
    <r>
      <t>O</t>
    </r>
    <r>
      <rPr>
        <vertAlign val="subscript"/>
        <sz val="10"/>
        <rFont val="Times New Roman"/>
        <family val="1"/>
      </rPr>
      <t>3</t>
    </r>
  </si>
  <si>
    <t>Nominal Volume (mL)</t>
  </si>
  <si>
    <t>Nominal Load (g)</t>
  </si>
  <si>
    <r>
      <t xml:space="preserve">Standard deviation of the process, from control chart, </t>
    </r>
    <r>
      <rPr>
        <i/>
        <sz val="10"/>
        <rFont val="Times New Roman"/>
        <family val="1"/>
      </rPr>
      <t>s</t>
    </r>
    <r>
      <rPr>
        <i/>
        <vertAlign val="subscript"/>
        <sz val="10"/>
        <rFont val="Times New Roman"/>
        <family val="1"/>
      </rPr>
      <t>p</t>
    </r>
    <r>
      <rPr>
        <i/>
        <sz val="10"/>
        <rFont val="Times New Roman"/>
        <family val="1"/>
      </rPr>
      <t xml:space="preserve">, </t>
    </r>
    <r>
      <rPr>
        <sz val="10"/>
        <rFont val="Times New Roman"/>
        <family val="1"/>
      </rPr>
      <t>mL</t>
    </r>
  </si>
  <si>
    <t>Uncertainty</t>
  </si>
  <si>
    <t>Test Number</t>
  </si>
  <si>
    <r>
      <t xml:space="preserve">Final water temp  </t>
    </r>
    <r>
      <rPr>
        <i/>
        <sz val="10"/>
        <rFont val="Times New Roman"/>
        <family val="1"/>
      </rPr>
      <t>t</t>
    </r>
    <r>
      <rPr>
        <i/>
        <vertAlign val="subscript"/>
        <sz val="10"/>
        <rFont val="Times New Roman"/>
        <family val="1"/>
      </rPr>
      <t xml:space="preserve">w </t>
    </r>
    <r>
      <rPr>
        <i/>
        <sz val="10"/>
        <rFont val="Times New Roman"/>
        <family val="1"/>
      </rPr>
      <t>°C</t>
    </r>
    <r>
      <rPr>
        <sz val="10"/>
        <rFont val="Times New Roman"/>
        <family val="1"/>
      </rPr>
      <t>:</t>
    </r>
  </si>
  <si>
    <t>Intermediate Calculations:</t>
  </si>
  <si>
    <t>ID (Note ID; Select for Filled Load)</t>
  </si>
  <si>
    <t>Unc (k factor)</t>
  </si>
  <si>
    <t>Nominal 
(g)</t>
  </si>
  <si>
    <t>Mass Correction* 
(g)</t>
  </si>
  <si>
    <r>
      <t>Density
(g/cm</t>
    </r>
    <r>
      <rPr>
        <vertAlign val="superscript"/>
        <sz val="10"/>
        <rFont val="Times New Roman"/>
        <family val="1"/>
      </rPr>
      <t>3</t>
    </r>
    <r>
      <rPr>
        <sz val="10"/>
        <rFont val="Times New Roman"/>
        <family val="1"/>
      </rPr>
      <t>)</t>
    </r>
  </si>
  <si>
    <t xml:space="preserve">      **  Calculated Volume at Test Temperature **</t>
  </si>
  <si>
    <t>Run 1: Volume at Test Temperature</t>
  </si>
  <si>
    <t>Run 2: Volume at Test Temperature</t>
  </si>
  <si>
    <t xml:space="preserve">      **  Calculated Volume at 20 °C Reference**</t>
  </si>
  <si>
    <t>Run 1: Volume at 20 °C</t>
  </si>
  <si>
    <t>Run 2: Volume at 20 °C</t>
  </si>
  <si>
    <t>/°C</t>
  </si>
  <si>
    <t xml:space="preserve">Expanded </t>
  </si>
  <si>
    <t xml:space="preserve">Reported Uncertainty: </t>
  </si>
  <si>
    <t>Final Volume at 20 °C:</t>
  </si>
  <si>
    <t>Reference temp 20 °C</t>
  </si>
  <si>
    <t>SOP 2, Option B (NIST IR 6969), 2012</t>
  </si>
  <si>
    <t>Uncertainty Components:</t>
  </si>
  <si>
    <t>Item</t>
  </si>
  <si>
    <t>Std Unc (mL)</t>
  </si>
  <si>
    <r>
      <t xml:space="preserve">Measured Item 
</t>
    </r>
    <r>
      <rPr>
        <i/>
        <sz val="10"/>
        <rFont val="Times New Roman"/>
        <family val="1"/>
      </rPr>
      <t>Zero balance before each observation.</t>
    </r>
  </si>
  <si>
    <t>Vessel Mfg and SN</t>
  </si>
  <si>
    <t>Tanaka, et al (2012), Air-Saturated (0 °C to 40 °C)</t>
  </si>
  <si>
    <t>Sum and Effective Density</t>
  </si>
  <si>
    <t>Average Environmental</t>
  </si>
  <si>
    <r>
      <t>Volume
(cm</t>
    </r>
    <r>
      <rPr>
        <vertAlign val="superscript"/>
        <sz val="10"/>
        <rFont val="Times New Roman"/>
        <family val="1"/>
      </rPr>
      <t>3</t>
    </r>
    <r>
      <rPr>
        <sz val="10"/>
        <rFont val="Times New Roman"/>
        <family val="1"/>
      </rPr>
      <t>)</t>
    </r>
  </si>
  <si>
    <t>Uncertainty Intermediate Calcs</t>
  </si>
  <si>
    <t>*Modified SOP 14 for Mass of Filled - Mass of Emptied.</t>
  </si>
  <si>
    <r>
      <t>Accepted s</t>
    </r>
    <r>
      <rPr>
        <b/>
        <vertAlign val="subscript"/>
        <sz val="10"/>
        <rFont val="Times New Roman"/>
        <family val="1"/>
      </rPr>
      <t>p</t>
    </r>
    <r>
      <rPr>
        <b/>
        <sz val="10"/>
        <rFont val="Times New Roman"/>
        <family val="1"/>
      </rPr>
      <t xml:space="preserve"> (Range/1.414)</t>
    </r>
  </si>
  <si>
    <t>GH</t>
  </si>
  <si>
    <t>Coverage Factor Used:</t>
  </si>
  <si>
    <t>gram</t>
  </si>
  <si>
    <t>Air Temperature, °C</t>
  </si>
  <si>
    <t>Pressure, mm Hg</t>
  </si>
  <si>
    <t>Relative Humidity, %</t>
  </si>
  <si>
    <t xml:space="preserve">Air Temp </t>
  </si>
  <si>
    <t>T1CA</t>
  </si>
  <si>
    <t xml:space="preserve">File was updated to modify all units and symbols consistent with NIST SP 811, SOP 2 (Air Density) 2012 Version from NISTIR 6969, GLP 10 (Water Density) 2012 Version from NISTIR 7383, SOP 14, 2012 Version NISTIR 7383, automatic calculations of uncertainty provided valid process standard deviations are entered.  This is set to print on two pages. </t>
  </si>
  <si>
    <t>Measurements:</t>
  </si>
  <si>
    <r>
      <t>Run 1, Average Air Density (g/cm</t>
    </r>
    <r>
      <rPr>
        <vertAlign val="superscript"/>
        <sz val="10"/>
        <rFont val="Times New Roman"/>
        <family val="1"/>
      </rPr>
      <t>3</t>
    </r>
    <r>
      <rPr>
        <sz val="10"/>
        <rFont val="Times New Roman"/>
        <family val="1"/>
      </rPr>
      <t>):</t>
    </r>
  </si>
  <si>
    <r>
      <t>Run 2, AverageAir Density (g/cm</t>
    </r>
    <r>
      <rPr>
        <vertAlign val="superscript"/>
        <sz val="10"/>
        <rFont val="Times New Roman"/>
        <family val="1"/>
      </rPr>
      <t>3</t>
    </r>
    <r>
      <rPr>
        <sz val="10"/>
        <rFont val="Times New Roman"/>
        <family val="1"/>
      </rPr>
      <t>):</t>
    </r>
  </si>
  <si>
    <t>Reference Water Temperature, °C</t>
  </si>
  <si>
    <t>Run 1 Average</t>
  </si>
  <si>
    <t>Run 2 Average</t>
  </si>
  <si>
    <r>
      <t>Laboratory data, calibration item, and conditions</t>
    </r>
    <r>
      <rPr>
        <sz val="10"/>
        <rFont val="Times New Roman"/>
        <family val="1"/>
      </rPr>
      <t>:</t>
    </r>
  </si>
  <si>
    <t>Note</t>
  </si>
  <si>
    <t>Test Notes</t>
  </si>
  <si>
    <t>If you distribute these tools through any means other than the NIST OWM website at www.nist.gov/labmetrology, you should check the website to ensure the tool being provided is the latest version available, and provide information to users on how to check for updates and revisions to the tools.</t>
  </si>
  <si>
    <t>These spreadsheets are provided as a useful approach for metrology calculations according to the SOP represented here.  However, NIST OWM or any other organization involved in their development, collectively and individually, do not warrant this spreadsheets for any specific purpose, nor do they make any representations regarding their fitness for any use or purpose whatsoever.  Each user agrees to decide if, when and how to use the spreadsheets, does so at his or her sole risk, and is responsible to suitable and applicable verification prior to use.  When using the tools provided on the NIST OWM website, you agree that you are not entitled to rely on any information generated using these worksheets.  You further agree to hold NIST OWM, and any of their partners in the creation of the tools, harmless for loss you might suffer arising out of any inaccuracies in numbers generated by the worksheets.  Under no circumstances shall NIST OWM, or any of their partners that helped create the tools, be liable for any damages, including incidental, special or consequential damages, arising from the use of these spreadsheets or an inability to use them.</t>
  </si>
  <si>
    <t>XP2004S-50</t>
  </si>
  <si>
    <t xml:space="preserve">      **  Control Chart Data and Assessment**</t>
  </si>
  <si>
    <t>Accepted Std Dev</t>
  </si>
  <si>
    <t>Dry</t>
  </si>
  <si>
    <t>NIST SOP 14 - Example</t>
  </si>
  <si>
    <t>Soda Lime Glass</t>
  </si>
  <si>
    <t>LC 5100</t>
  </si>
  <si>
    <t>Unc water temperature,  °C</t>
  </si>
  <si>
    <t>Expanded Unc from Cal. Rpt. (g)</t>
  </si>
  <si>
    <t>Std Dev of Run 1 and Run 2</t>
  </si>
  <si>
    <r>
      <t xml:space="preserve">mL </t>
    </r>
    <r>
      <rPr>
        <sz val="10"/>
        <color rgb="FFFF0000"/>
        <rFont val="Times New Roman"/>
        <family val="1"/>
      </rPr>
      <t>(Enter in Control Chart if S</t>
    </r>
    <r>
      <rPr>
        <vertAlign val="subscript"/>
        <sz val="10"/>
        <color rgb="FFFF0000"/>
        <rFont val="Times New Roman"/>
        <family val="1"/>
      </rPr>
      <t>c</t>
    </r>
    <r>
      <rPr>
        <sz val="10"/>
        <color rgb="FFFF0000"/>
        <rFont val="Times New Roman"/>
        <family val="1"/>
      </rPr>
      <t xml:space="preserve"> or Lab Std)</t>
    </r>
  </si>
  <si>
    <r>
      <t>mL</t>
    </r>
    <r>
      <rPr>
        <sz val="10"/>
        <color rgb="FFFF0000"/>
        <rFont val="Times New Roman"/>
        <family val="1"/>
      </rPr>
      <t xml:space="preserve"> (Enter in Control Chart if S</t>
    </r>
    <r>
      <rPr>
        <vertAlign val="subscript"/>
        <sz val="10"/>
        <color rgb="FFFF0000"/>
        <rFont val="Times New Roman"/>
        <family val="1"/>
      </rPr>
      <t>c</t>
    </r>
    <r>
      <rPr>
        <sz val="10"/>
        <color rgb="FFFF0000"/>
        <rFont val="Times New Roman"/>
        <family val="1"/>
      </rPr>
      <t xml:space="preserve"> or Lab Std)</t>
    </r>
  </si>
  <si>
    <r>
      <t>mL</t>
    </r>
    <r>
      <rPr>
        <sz val="10"/>
        <color rgb="FFFF0000"/>
        <rFont val="Times New Roman"/>
        <family val="1"/>
      </rPr>
      <t xml:space="preserve"> (Enter in Std Dev Chart if no S</t>
    </r>
    <r>
      <rPr>
        <i/>
        <vertAlign val="subscript"/>
        <sz val="10"/>
        <color rgb="FFFF0000"/>
        <rFont val="Tekton Pro Ext"/>
        <family val="2"/>
      </rPr>
      <t>c</t>
    </r>
    <r>
      <rPr>
        <sz val="10"/>
        <color rgb="FFFF0000"/>
        <rFont val="Times New Roman"/>
        <family val="1"/>
      </rPr>
      <t>)</t>
    </r>
  </si>
  <si>
    <t>Sample Validation Data.</t>
  </si>
  <si>
    <t>All cells protected.</t>
  </si>
  <si>
    <t>Use this tab for "to deliver" flasks.</t>
  </si>
  <si>
    <t>Use this tab for "to contain" flasks.</t>
  </si>
  <si>
    <t>Empty</t>
  </si>
  <si>
    <t>Meniscus Reading</t>
  </si>
  <si>
    <t>1/18/2013</t>
  </si>
  <si>
    <t>Drained/Empty</t>
  </si>
  <si>
    <t>Prepared for Volume Metrology Seminar; password is metrology.  TD is "to deliver" and TC is "to contain" and both use Option A of SOP 14.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</si>
</sst>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00000"/>
    <numFmt numFmtId="165" formatCode="0.00000000"/>
    <numFmt numFmtId="166" formatCode="0.000000000000"/>
    <numFmt numFmtId="167" formatCode="0.000"/>
    <numFmt numFmtId="168" formatCode="0.000000000"/>
    <numFmt numFmtId="169" formatCode="0.000\ 000"/>
    <numFmt numFmtId="170" formatCode="0.0000000000"/>
  </numFmts>
  <fonts count="35" x14ac:knownFonts="1">
    <font>
      <sz val="10"/>
      <name val="Courier"/>
    </font>
    <font>
      <sz val="10"/>
      <name val="Arial"/>
      <family val="2"/>
    </font>
    <font>
      <sz val="12"/>
      <name val="Times New Roman"/>
      <family val="1"/>
    </font>
    <font>
      <u/>
      <sz val="10"/>
      <color indexed="12"/>
      <name val="Arial"/>
      <family val="2"/>
    </font>
    <font>
      <sz val="10"/>
      <name val="Times New Roman"/>
      <family val="1"/>
    </font>
    <font>
      <b/>
      <sz val="12"/>
      <color indexed="10"/>
      <name val="Times New Roman"/>
      <family val="1"/>
    </font>
    <font>
      <b/>
      <sz val="12"/>
      <name val="Times New Roman"/>
      <family val="1"/>
    </font>
    <font>
      <b/>
      <sz val="12"/>
      <color indexed="12"/>
      <name val="Times New Roman"/>
      <family val="1"/>
    </font>
    <font>
      <vertAlign val="superscript"/>
      <sz val="12"/>
      <name val="Times New Roman"/>
      <family val="1"/>
    </font>
    <font>
      <i/>
      <sz val="12"/>
      <name val="Times New Roman"/>
      <family val="1"/>
    </font>
    <font>
      <sz val="10"/>
      <name val="Times New Roman"/>
      <family val="1"/>
    </font>
    <font>
      <sz val="8"/>
      <name val="Courier"/>
      <family val="3"/>
    </font>
    <font>
      <b/>
      <sz val="12"/>
      <color indexed="8"/>
      <name val="Times New Roman"/>
      <family val="1"/>
    </font>
    <font>
      <sz val="12"/>
      <color indexed="8"/>
      <name val="Times New Roman"/>
      <family val="1"/>
    </font>
    <font>
      <b/>
      <sz val="10"/>
      <name val="Times New Roman"/>
      <family val="1"/>
    </font>
    <font>
      <vertAlign val="subscript"/>
      <sz val="10"/>
      <name val="Times New Roman"/>
      <family val="1"/>
    </font>
    <font>
      <i/>
      <sz val="10"/>
      <name val="Times New Roman"/>
      <family val="1"/>
    </font>
    <font>
      <sz val="11"/>
      <name val="Times New Roman"/>
      <family val="1"/>
    </font>
    <font>
      <b/>
      <sz val="11"/>
      <name val="Times New Roman"/>
      <family val="1"/>
    </font>
    <font>
      <i/>
      <vertAlign val="subscript"/>
      <sz val="10"/>
      <name val="Times New Roman"/>
      <family val="1"/>
    </font>
    <font>
      <vertAlign val="superscript"/>
      <sz val="10"/>
      <name val="Times New Roman"/>
      <family val="1"/>
    </font>
    <font>
      <b/>
      <vertAlign val="subscript"/>
      <sz val="10"/>
      <name val="Times New Roman"/>
      <family val="1"/>
    </font>
    <font>
      <b/>
      <sz val="12"/>
      <color theme="1"/>
      <name val="Calibri"/>
      <family val="2"/>
      <scheme val="minor"/>
    </font>
    <font>
      <sz val="14"/>
      <color theme="1"/>
      <name val="Calibri"/>
      <family val="2"/>
      <scheme val="minor"/>
    </font>
    <font>
      <sz val="12"/>
      <color theme="1"/>
      <name val="Calibri"/>
      <family val="2"/>
      <scheme val="minor"/>
    </font>
    <font>
      <sz val="10"/>
      <color theme="1"/>
      <name val="Times New Roman"/>
      <family val="1"/>
    </font>
    <font>
      <sz val="14"/>
      <color indexed="61"/>
      <name val="Arial"/>
      <family val="2"/>
    </font>
    <font>
      <sz val="10"/>
      <name val="MS Sans Serif"/>
      <family val="2"/>
    </font>
    <font>
      <b/>
      <sz val="14"/>
      <name val="Arial"/>
      <family val="2"/>
    </font>
    <font>
      <b/>
      <sz val="11"/>
      <color rgb="FFFFFF00"/>
      <name val="Calibri"/>
      <family val="2"/>
      <scheme val="minor"/>
    </font>
    <font>
      <sz val="9"/>
      <color indexed="81"/>
      <name val="Tahoma"/>
      <family val="2"/>
    </font>
    <font>
      <u/>
      <sz val="10"/>
      <color indexed="12"/>
      <name val="Arial"/>
      <family val="2"/>
    </font>
    <font>
      <sz val="10"/>
      <color rgb="FFFF0000"/>
      <name val="Times New Roman"/>
      <family val="1"/>
    </font>
    <font>
      <vertAlign val="subscript"/>
      <sz val="10"/>
      <color rgb="FFFF0000"/>
      <name val="Times New Roman"/>
      <family val="1"/>
    </font>
    <font>
      <i/>
      <vertAlign val="subscript"/>
      <sz val="10"/>
      <color rgb="FFFF0000"/>
      <name val="Tekton Pro Ext"/>
      <family val="2"/>
    </font>
  </fonts>
  <fills count="6">
    <fill>
      <patternFill patternType="none"/>
    </fill>
    <fill>
      <patternFill patternType="gray125"/>
    </fill>
    <fill>
      <patternFill patternType="solid">
        <fgColor theme="4" tint="0.79998168889431442"/>
        <bgColor indexed="64"/>
      </patternFill>
    </fill>
    <fill>
      <patternFill patternType="solid">
        <fgColor rgb="FFFFFFC9"/>
        <bgColor indexed="64"/>
      </patternFill>
    </fill>
    <fill>
      <patternFill patternType="solid">
        <fgColor rgb="FFFF0000"/>
        <bgColor indexed="64"/>
      </patternFill>
    </fill>
    <fill>
      <patternFill patternType="solid">
        <fgColor rgb="FFC0E399"/>
        <bgColor indexed="64"/>
      </patternFill>
    </fill>
  </fills>
  <borders count="72">
    <border>
      <left/>
      <right/>
      <top/>
      <bottom/>
      <diagonal/>
    </border>
    <border>
      <left/>
      <right style="thin">
        <color indexed="64"/>
      </right>
      <top/>
      <bottom style="thick">
        <color indexed="10"/>
      </bottom>
      <diagonal/>
    </border>
    <border>
      <left style="thin">
        <color indexed="64"/>
      </left>
      <right style="thin">
        <color indexed="64"/>
      </right>
      <top/>
      <bottom style="thick">
        <color indexed="10"/>
      </bottom>
      <diagonal/>
    </border>
    <border>
      <left style="thin">
        <color indexed="64"/>
      </left>
      <right/>
      <top/>
      <bottom style="thick">
        <color indexed="10"/>
      </bottom>
      <diagonal/>
    </border>
    <border>
      <left style="thick">
        <color indexed="10"/>
      </left>
      <right/>
      <top style="thick">
        <color indexed="10"/>
      </top>
      <bottom style="thin">
        <color indexed="64"/>
      </bottom>
      <diagonal/>
    </border>
    <border>
      <left style="thick">
        <color indexed="10"/>
      </left>
      <right style="thin">
        <color indexed="64"/>
      </right>
      <top style="thick">
        <color indexed="10"/>
      </top>
      <bottom style="thin">
        <color indexed="64"/>
      </bottom>
      <diagonal/>
    </border>
    <border>
      <left style="thin">
        <color indexed="64"/>
      </left>
      <right style="thin">
        <color indexed="64"/>
      </right>
      <top style="thick">
        <color indexed="10"/>
      </top>
      <bottom style="thin">
        <color indexed="64"/>
      </bottom>
      <diagonal/>
    </border>
    <border>
      <left style="thin">
        <color indexed="64"/>
      </left>
      <right style="thick">
        <color indexed="10"/>
      </right>
      <top style="thick">
        <color indexed="10"/>
      </top>
      <bottom style="thin">
        <color indexed="64"/>
      </bottom>
      <diagonal/>
    </border>
    <border>
      <left style="thin">
        <color indexed="64"/>
      </left>
      <right style="thin">
        <color indexed="64"/>
      </right>
      <top style="thin">
        <color indexed="64"/>
      </top>
      <bottom style="thin">
        <color indexed="64"/>
      </bottom>
      <diagonal/>
    </border>
    <border>
      <left style="thick">
        <color indexed="10"/>
      </left>
      <right/>
      <top style="thin">
        <color indexed="64"/>
      </top>
      <bottom style="thin">
        <color indexed="64"/>
      </bottom>
      <diagonal/>
    </border>
    <border>
      <left style="thick">
        <color indexed="10"/>
      </left>
      <right style="thin">
        <color indexed="64"/>
      </right>
      <top style="thin">
        <color indexed="64"/>
      </top>
      <bottom style="thin">
        <color indexed="64"/>
      </bottom>
      <diagonal/>
    </border>
    <border>
      <left style="thin">
        <color indexed="64"/>
      </left>
      <right style="thick">
        <color indexed="10"/>
      </right>
      <top style="thin">
        <color indexed="64"/>
      </top>
      <bottom style="thin">
        <color indexed="64"/>
      </bottom>
      <diagonal/>
    </border>
    <border>
      <left style="thick">
        <color indexed="10"/>
      </left>
      <right/>
      <top style="thin">
        <color indexed="64"/>
      </top>
      <bottom style="thick">
        <color indexed="10"/>
      </bottom>
      <diagonal/>
    </border>
    <border>
      <left style="thick">
        <color indexed="10"/>
      </left>
      <right style="thin">
        <color indexed="64"/>
      </right>
      <top style="thin">
        <color indexed="64"/>
      </top>
      <bottom style="thick">
        <color indexed="10"/>
      </bottom>
      <diagonal/>
    </border>
    <border>
      <left style="thin">
        <color indexed="64"/>
      </left>
      <right style="thin">
        <color indexed="64"/>
      </right>
      <top style="thin">
        <color indexed="64"/>
      </top>
      <bottom style="thick">
        <color indexed="10"/>
      </bottom>
      <diagonal/>
    </border>
    <border>
      <left style="thin">
        <color indexed="64"/>
      </left>
      <right style="thick">
        <color indexed="10"/>
      </right>
      <top style="thin">
        <color indexed="64"/>
      </top>
      <bottom style="thick">
        <color indexed="10"/>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double">
        <color indexed="64"/>
      </top>
      <bottom style="double">
        <color indexed="64"/>
      </bottom>
      <diagonal/>
    </border>
    <border>
      <left/>
      <right/>
      <top style="double">
        <color indexed="64"/>
      </top>
      <bottom/>
      <diagonal/>
    </border>
    <border>
      <left style="double">
        <color indexed="64"/>
      </left>
      <right/>
      <top/>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double">
        <color indexed="64"/>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style="thin">
        <color indexed="64"/>
      </left>
      <right style="double">
        <color indexed="64"/>
      </right>
      <top style="double">
        <color indexed="64"/>
      </top>
      <bottom/>
      <diagonal/>
    </border>
    <border>
      <left style="thin">
        <color indexed="64"/>
      </left>
      <right style="double">
        <color indexed="64"/>
      </right>
      <top/>
      <bottom style="double">
        <color indexed="64"/>
      </bottom>
      <diagonal/>
    </border>
    <border>
      <left style="thin">
        <color indexed="64"/>
      </left>
      <right/>
      <top style="thin">
        <color indexed="64"/>
      </top>
      <bottom style="double">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double">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double">
        <color indexed="64"/>
      </left>
      <right/>
      <top/>
      <bottom style="double">
        <color indexed="64"/>
      </bottom>
      <diagonal/>
    </border>
    <border>
      <left style="double">
        <color indexed="64"/>
      </left>
      <right/>
      <top style="thin">
        <color indexed="64"/>
      </top>
      <bottom/>
      <diagonal/>
    </border>
    <border>
      <left style="double">
        <color indexed="64"/>
      </left>
      <right/>
      <top style="double">
        <color indexed="64"/>
      </top>
      <bottom style="double">
        <color indexed="64"/>
      </bottom>
      <diagonal/>
    </border>
    <border>
      <left style="double">
        <color auto="1"/>
      </left>
      <right/>
      <top style="double">
        <color auto="1"/>
      </top>
      <bottom/>
      <diagonal/>
    </border>
    <border>
      <left/>
      <right style="double">
        <color auto="1"/>
      </right>
      <top style="double">
        <color auto="1"/>
      </top>
      <bottom/>
      <diagonal/>
    </border>
    <border>
      <left/>
      <right style="double">
        <color auto="1"/>
      </right>
      <top/>
      <bottom/>
      <diagonal/>
    </border>
    <border>
      <left/>
      <right style="double">
        <color auto="1"/>
      </right>
      <top/>
      <bottom style="double">
        <color auto="1"/>
      </bottom>
      <diagonal/>
    </border>
    <border>
      <left/>
      <right style="double">
        <color indexed="64"/>
      </right>
      <top style="double">
        <color indexed="64"/>
      </top>
      <bottom style="double">
        <color indexed="64"/>
      </bottom>
      <diagonal/>
    </border>
    <border>
      <left/>
      <right/>
      <top style="thin">
        <color indexed="64"/>
      </top>
      <bottom/>
      <diagonal/>
    </border>
    <border>
      <left/>
      <right style="double">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double">
        <color indexed="64"/>
      </top>
      <bottom style="thin">
        <color indexed="64"/>
      </bottom>
      <diagonal/>
    </border>
  </borders>
  <cellStyleXfs count="5">
    <xf numFmtId="0" fontId="0" fillId="0" borderId="0"/>
    <xf numFmtId="0" fontId="3" fillId="0" borderId="0" applyNumberFormat="0" applyFill="0" applyBorder="0" applyAlignment="0" applyProtection="0">
      <alignment vertical="top"/>
      <protection locked="0"/>
    </xf>
    <xf numFmtId="0" fontId="1" fillId="0" borderId="0"/>
    <xf numFmtId="0" fontId="4" fillId="0" borderId="0"/>
    <xf numFmtId="0" fontId="27" fillId="0" borderId="0"/>
  </cellStyleXfs>
  <cellXfs count="363">
    <xf numFmtId="0" fontId="0" fillId="0" borderId="0" xfId="0"/>
    <xf numFmtId="0" fontId="2" fillId="0" borderId="0" xfId="0" applyFont="1"/>
    <xf numFmtId="0" fontId="4" fillId="0" borderId="0" xfId="3"/>
    <xf numFmtId="0" fontId="0" fillId="0" borderId="0" xfId="0" applyFill="1" applyBorder="1"/>
    <xf numFmtId="0" fontId="5" fillId="0" borderId="1" xfId="3" quotePrefix="1" applyFont="1" applyBorder="1" applyAlignment="1" applyProtection="1">
      <alignment horizontal="centerContinuous" vertical="center"/>
    </xf>
    <xf numFmtId="0" fontId="5" fillId="0" borderId="2" xfId="3" quotePrefix="1" applyFont="1" applyBorder="1" applyAlignment="1" applyProtection="1">
      <alignment horizontal="centerContinuous" vertical="center"/>
    </xf>
    <xf numFmtId="0" fontId="2" fillId="0" borderId="0" xfId="0" applyFont="1" applyAlignment="1">
      <alignment horizontal="left"/>
    </xf>
    <xf numFmtId="0" fontId="2" fillId="0" borderId="0" xfId="0" applyFont="1" applyAlignment="1">
      <alignment horizontal="right"/>
    </xf>
    <xf numFmtId="0" fontId="2" fillId="0" borderId="0" xfId="3" applyFont="1" applyAlignment="1" applyProtection="1">
      <alignment vertical="center"/>
    </xf>
    <xf numFmtId="0" fontId="2" fillId="0" borderId="0" xfId="3" applyFont="1"/>
    <xf numFmtId="0" fontId="2" fillId="0" borderId="0" xfId="3" applyFont="1" applyProtection="1"/>
    <xf numFmtId="0" fontId="2" fillId="0" borderId="2" xfId="3" applyFont="1" applyBorder="1" applyAlignment="1" applyProtection="1">
      <alignment horizontal="centerContinuous" vertical="center"/>
    </xf>
    <xf numFmtId="0" fontId="2" fillId="0" borderId="3" xfId="3" applyFont="1" applyBorder="1" applyAlignment="1" applyProtection="1">
      <alignment horizontal="centerContinuous" vertical="center"/>
    </xf>
    <xf numFmtId="0" fontId="2" fillId="0" borderId="0" xfId="3" applyFont="1" applyBorder="1"/>
    <xf numFmtId="0" fontId="2" fillId="0" borderId="4" xfId="3" applyFont="1" applyBorder="1" applyAlignment="1" applyProtection="1">
      <alignment horizontal="left" vertical="center" indent="1"/>
    </xf>
    <xf numFmtId="0" fontId="2" fillId="0" borderId="5" xfId="3" applyFont="1" applyBorder="1" applyAlignment="1" applyProtection="1">
      <alignment horizontal="left" vertical="center" indent="1"/>
    </xf>
    <xf numFmtId="2" fontId="7" fillId="0" borderId="6" xfId="3" applyNumberFormat="1" applyFont="1" applyBorder="1" applyAlignment="1" applyProtection="1">
      <alignment horizontal="right" vertical="center"/>
      <protection locked="0"/>
    </xf>
    <xf numFmtId="0" fontId="2" fillId="0" borderId="7" xfId="3" applyFont="1" applyBorder="1" applyAlignment="1" applyProtection="1">
      <alignment vertical="center"/>
    </xf>
    <xf numFmtId="0" fontId="7" fillId="0" borderId="8" xfId="3" applyNumberFormat="1" applyFont="1" applyBorder="1" applyAlignment="1" applyProtection="1">
      <alignment horizontal="right" vertical="center"/>
    </xf>
    <xf numFmtId="0" fontId="2" fillId="0" borderId="8" xfId="3" applyFont="1" applyBorder="1" applyAlignment="1" applyProtection="1">
      <alignment vertical="center"/>
    </xf>
    <xf numFmtId="0" fontId="2" fillId="0" borderId="9" xfId="3" applyFont="1" applyBorder="1" applyAlignment="1" applyProtection="1">
      <alignment horizontal="left" vertical="center" indent="1"/>
    </xf>
    <xf numFmtId="0" fontId="2" fillId="0" borderId="10" xfId="3" applyFont="1" applyBorder="1" applyAlignment="1" applyProtection="1">
      <alignment horizontal="left" vertical="center" indent="1"/>
    </xf>
    <xf numFmtId="2" fontId="7" fillId="0" borderId="8" xfId="3" applyNumberFormat="1" applyFont="1" applyBorder="1" applyAlignment="1" applyProtection="1">
      <alignment horizontal="right" vertical="center"/>
      <protection locked="0"/>
    </xf>
    <xf numFmtId="0" fontId="2" fillId="0" borderId="11" xfId="3" applyFont="1" applyBorder="1" applyAlignment="1" applyProtection="1">
      <alignment vertical="center"/>
    </xf>
    <xf numFmtId="2" fontId="7" fillId="0" borderId="8" xfId="3" applyNumberFormat="1" applyFont="1" applyBorder="1" applyAlignment="1" applyProtection="1">
      <alignment horizontal="right" vertical="center"/>
    </xf>
    <xf numFmtId="0" fontId="2" fillId="0" borderId="12" xfId="3" applyFont="1" applyBorder="1" applyAlignment="1" applyProtection="1">
      <alignment horizontal="left" vertical="center" indent="1"/>
    </xf>
    <xf numFmtId="0" fontId="2" fillId="0" borderId="13" xfId="3" applyFont="1" applyBorder="1" applyAlignment="1" applyProtection="1">
      <alignment horizontal="left" vertical="center" indent="1"/>
    </xf>
    <xf numFmtId="2" fontId="7" fillId="0" borderId="14" xfId="3" applyNumberFormat="1" applyFont="1" applyBorder="1" applyAlignment="1" applyProtection="1">
      <alignment horizontal="right" vertical="center"/>
      <protection locked="0"/>
    </xf>
    <xf numFmtId="0" fontId="2" fillId="0" borderId="15" xfId="3" applyFont="1" applyBorder="1" applyAlignment="1" applyProtection="1">
      <alignment vertical="center"/>
    </xf>
    <xf numFmtId="0" fontId="2" fillId="0" borderId="0" xfId="3" quotePrefix="1" applyFont="1" applyBorder="1" applyAlignment="1" applyProtection="1">
      <alignment horizontal="left" vertical="center" indent="1"/>
    </xf>
    <xf numFmtId="168" fontId="5" fillId="0" borderId="0" xfId="3" applyNumberFormat="1" applyFont="1" applyBorder="1"/>
    <xf numFmtId="0" fontId="2" fillId="0" borderId="0" xfId="3" quotePrefix="1" applyFont="1" applyBorder="1" applyAlignment="1" applyProtection="1">
      <alignment horizontal="left" vertical="center"/>
    </xf>
    <xf numFmtId="164" fontId="2" fillId="0" borderId="0" xfId="3" applyNumberFormat="1" applyFont="1" applyBorder="1"/>
    <xf numFmtId="0" fontId="7" fillId="0" borderId="0" xfId="3" quotePrefix="1" applyFont="1" applyAlignment="1" applyProtection="1">
      <alignment horizontal="left" vertical="center"/>
      <protection locked="0"/>
    </xf>
    <xf numFmtId="0" fontId="9" fillId="0" borderId="0" xfId="2" applyFont="1"/>
    <xf numFmtId="0" fontId="2" fillId="0" borderId="0" xfId="2" applyFont="1"/>
    <xf numFmtId="0" fontId="2" fillId="0" borderId="0" xfId="3" quotePrefix="1" applyFont="1" applyAlignment="1" applyProtection="1">
      <alignment horizontal="left" vertical="center" wrapText="1" indent="1"/>
    </xf>
    <xf numFmtId="0" fontId="2" fillId="0" borderId="0" xfId="3" applyFont="1" applyAlignment="1" applyProtection="1">
      <alignment horizontal="right"/>
    </xf>
    <xf numFmtId="11" fontId="0" fillId="0" borderId="0" xfId="0" applyNumberFormat="1"/>
    <xf numFmtId="164" fontId="2" fillId="0" borderId="0" xfId="0" applyNumberFormat="1" applyFont="1"/>
    <xf numFmtId="164" fontId="0" fillId="0" borderId="0" xfId="0" applyNumberFormat="1"/>
    <xf numFmtId="0" fontId="10" fillId="0" borderId="0" xfId="0" applyFont="1" applyAlignment="1">
      <alignment vertical="center"/>
    </xf>
    <xf numFmtId="14" fontId="2" fillId="0" borderId="0" xfId="0" applyNumberFormat="1" applyFont="1"/>
    <xf numFmtId="0" fontId="6" fillId="0" borderId="0" xfId="0" applyFont="1"/>
    <xf numFmtId="0" fontId="12" fillId="0" borderId="0" xfId="0" applyFont="1"/>
    <xf numFmtId="0" fontId="13" fillId="0" borderId="0" xfId="0" applyFont="1" applyAlignment="1">
      <alignment horizontal="left" wrapText="1"/>
    </xf>
    <xf numFmtId="0" fontId="2" fillId="0" borderId="0" xfId="0" applyFont="1" applyAlignment="1">
      <alignment wrapText="1"/>
    </xf>
    <xf numFmtId="0" fontId="10" fillId="0" borderId="0" xfId="0" applyFont="1"/>
    <xf numFmtId="0" fontId="10" fillId="0" borderId="0" xfId="0" applyFont="1" applyAlignment="1">
      <alignment horizontal="center" vertical="center"/>
    </xf>
    <xf numFmtId="0" fontId="10" fillId="0" borderId="8" xfId="0" applyFont="1" applyBorder="1" applyAlignment="1" applyProtection="1">
      <alignment horizontal="left" vertical="center"/>
    </xf>
    <xf numFmtId="0" fontId="10" fillId="0" borderId="8" xfId="0" applyFont="1" applyBorder="1" applyAlignment="1" applyProtection="1">
      <alignment horizontal="center" vertical="center"/>
    </xf>
    <xf numFmtId="0" fontId="10" fillId="0" borderId="19" xfId="0" applyFont="1" applyBorder="1" applyAlignment="1" applyProtection="1">
      <alignment horizontal="right" vertical="center" wrapText="1"/>
    </xf>
    <xf numFmtId="0" fontId="10" fillId="0" borderId="20" xfId="0" applyFont="1" applyBorder="1" applyAlignment="1" applyProtection="1">
      <alignment horizontal="right" vertical="center" wrapText="1"/>
    </xf>
    <xf numFmtId="0" fontId="10" fillId="0" borderId="22" xfId="0" applyFont="1" applyBorder="1" applyAlignment="1" applyProtection="1">
      <alignment horizontal="right"/>
    </xf>
    <xf numFmtId="0" fontId="10" fillId="0" borderId="8" xfId="0" applyFont="1" applyBorder="1" applyAlignment="1" applyProtection="1">
      <alignment horizontal="right" vertical="center" wrapText="1"/>
    </xf>
    <xf numFmtId="0" fontId="10" fillId="0" borderId="22" xfId="0" applyFont="1" applyBorder="1" applyAlignment="1" applyProtection="1">
      <alignment horizontal="right" vertical="center" wrapText="1"/>
    </xf>
    <xf numFmtId="0" fontId="10" fillId="0" borderId="24" xfId="0" applyFont="1" applyBorder="1" applyAlignment="1" applyProtection="1">
      <alignment horizontal="right" vertical="center" wrapText="1"/>
    </xf>
    <xf numFmtId="0" fontId="16" fillId="0" borderId="29" xfId="0" applyFont="1" applyBorder="1" applyAlignment="1" applyProtection="1">
      <alignment horizontal="right" vertical="center" wrapText="1"/>
    </xf>
    <xf numFmtId="0" fontId="16" fillId="0" borderId="22" xfId="0" applyFont="1" applyBorder="1" applyAlignment="1" applyProtection="1">
      <alignment horizontal="right" vertical="center" wrapText="1"/>
    </xf>
    <xf numFmtId="0" fontId="14" fillId="0" borderId="19" xfId="0" applyFont="1" applyBorder="1" applyAlignment="1" applyProtection="1">
      <alignment horizontal="center" vertical="center" wrapText="1"/>
    </xf>
    <xf numFmtId="0" fontId="10" fillId="0" borderId="22" xfId="0" applyFont="1" applyBorder="1" applyAlignment="1" applyProtection="1">
      <alignment horizontal="center" vertical="center" wrapText="1"/>
    </xf>
    <xf numFmtId="0" fontId="16" fillId="0" borderId="8" xfId="0" applyFont="1" applyBorder="1" applyAlignment="1" applyProtection="1">
      <alignment horizontal="right" vertical="center" wrapText="1"/>
    </xf>
    <xf numFmtId="0" fontId="10" fillId="0" borderId="0" xfId="0" applyFont="1" applyProtection="1"/>
    <xf numFmtId="0" fontId="10" fillId="0" borderId="22" xfId="0" applyFont="1" applyBorder="1" applyAlignment="1" applyProtection="1">
      <alignment horizontal="left" vertical="center"/>
    </xf>
    <xf numFmtId="0" fontId="10" fillId="0" borderId="8" xfId="0" applyFont="1" applyBorder="1" applyAlignment="1" applyProtection="1">
      <alignment horizontal="left"/>
    </xf>
    <xf numFmtId="0" fontId="14" fillId="0" borderId="22" xfId="0" applyFont="1" applyBorder="1" applyAlignment="1" applyProtection="1">
      <alignment horizontal="left" vertical="center"/>
    </xf>
    <xf numFmtId="0" fontId="10" fillId="0" borderId="8" xfId="0" applyFont="1" applyBorder="1" applyAlignment="1" applyProtection="1">
      <alignment vertical="center"/>
    </xf>
    <xf numFmtId="169" fontId="10" fillId="0" borderId="23" xfId="0" applyNumberFormat="1" applyFont="1" applyBorder="1" applyAlignment="1" applyProtection="1">
      <alignment vertical="center"/>
    </xf>
    <xf numFmtId="0" fontId="10" fillId="0" borderId="8" xfId="0" quotePrefix="1" applyFont="1" applyBorder="1" applyAlignment="1" applyProtection="1">
      <alignment vertical="center"/>
    </xf>
    <xf numFmtId="0" fontId="14" fillId="0" borderId="8" xfId="0" applyFont="1" applyBorder="1" applyAlignment="1" applyProtection="1">
      <alignment horizontal="right" vertical="center"/>
    </xf>
    <xf numFmtId="0" fontId="10" fillId="3" borderId="16" xfId="0" applyFont="1" applyFill="1" applyBorder="1" applyAlignment="1" applyProtection="1">
      <alignment horizontal="center" vertical="center" wrapText="1"/>
      <protection locked="0"/>
    </xf>
    <xf numFmtId="0" fontId="10" fillId="3" borderId="30" xfId="0" applyFont="1" applyFill="1" applyBorder="1" applyAlignment="1" applyProtection="1">
      <alignment horizontal="center" vertical="center" wrapText="1"/>
      <protection locked="0"/>
    </xf>
    <xf numFmtId="0" fontId="10" fillId="3" borderId="23" xfId="0" applyFont="1" applyFill="1" applyBorder="1" applyAlignment="1" applyProtection="1">
      <alignment horizontal="center" vertical="center" wrapText="1"/>
      <protection locked="0"/>
    </xf>
    <xf numFmtId="0" fontId="23" fillId="0" borderId="0" xfId="0" applyFont="1" applyProtection="1"/>
    <xf numFmtId="0" fontId="10" fillId="0" borderId="0" xfId="0" applyFont="1" applyFill="1" applyBorder="1"/>
    <xf numFmtId="0" fontId="24" fillId="0" borderId="0" xfId="0" applyFont="1" applyFill="1" applyBorder="1" applyAlignment="1" applyProtection="1">
      <alignment horizontal="center" vertical="center"/>
    </xf>
    <xf numFmtId="0" fontId="22" fillId="0" borderId="0" xfId="0" applyFont="1" applyFill="1" applyBorder="1" applyAlignment="1" applyProtection="1">
      <alignment horizontal="center" vertical="center" wrapText="1"/>
    </xf>
    <xf numFmtId="0" fontId="10" fillId="0" borderId="37" xfId="0" applyFont="1" applyBorder="1" applyAlignment="1" applyProtection="1">
      <alignment horizontal="right" vertical="center" wrapText="1"/>
    </xf>
    <xf numFmtId="0" fontId="26" fillId="0" borderId="0" xfId="0" applyFont="1" applyFill="1" applyBorder="1" applyAlignment="1">
      <alignment horizontal="right" vertical="center" wrapText="1"/>
    </xf>
    <xf numFmtId="166" fontId="28" fillId="0" borderId="0" xfId="4" applyNumberFormat="1" applyFont="1" applyFill="1" applyBorder="1" applyAlignment="1">
      <alignment horizontal="right" vertical="center"/>
    </xf>
    <xf numFmtId="170" fontId="0" fillId="0" borderId="0" xfId="0" applyNumberFormat="1" applyFill="1" applyBorder="1"/>
    <xf numFmtId="165" fontId="0" fillId="0" borderId="0" xfId="0" applyNumberFormat="1" applyFill="1" applyBorder="1"/>
    <xf numFmtId="165" fontId="10" fillId="2" borderId="8" xfId="4" applyNumberFormat="1" applyFont="1" applyFill="1" applyBorder="1" applyAlignment="1">
      <alignment vertical="center"/>
    </xf>
    <xf numFmtId="0" fontId="10" fillId="2" borderId="8" xfId="0" applyFont="1" applyFill="1" applyBorder="1" applyAlignment="1" applyProtection="1">
      <alignment horizontal="right"/>
    </xf>
    <xf numFmtId="164" fontId="10" fillId="2" borderId="8" xfId="0" applyNumberFormat="1" applyFont="1" applyFill="1" applyBorder="1" applyAlignment="1" applyProtection="1">
      <alignment horizontal="right"/>
    </xf>
    <xf numFmtId="0" fontId="16" fillId="0" borderId="51" xfId="0" applyFont="1" applyBorder="1" applyAlignment="1" applyProtection="1">
      <alignment horizontal="right" vertical="center" wrapText="1"/>
    </xf>
    <xf numFmtId="0" fontId="10" fillId="3" borderId="52" xfId="0" applyFont="1" applyFill="1" applyBorder="1" applyAlignment="1" applyProtection="1">
      <alignment horizontal="center" vertical="center" wrapText="1"/>
      <protection locked="0"/>
    </xf>
    <xf numFmtId="0" fontId="10" fillId="3" borderId="53" xfId="0" applyFont="1" applyFill="1" applyBorder="1" applyAlignment="1" applyProtection="1">
      <alignment horizontal="center" vertical="center" wrapText="1"/>
      <protection locked="0"/>
    </xf>
    <xf numFmtId="0" fontId="16" fillId="0" borderId="54" xfId="0" applyFont="1" applyBorder="1" applyAlignment="1" applyProtection="1">
      <alignment horizontal="right" vertical="center" wrapText="1"/>
    </xf>
    <xf numFmtId="0" fontId="10" fillId="3" borderId="8" xfId="0" applyFont="1" applyFill="1" applyBorder="1" applyAlignment="1" applyProtection="1">
      <alignment horizontal="center" vertical="center"/>
      <protection locked="0"/>
    </xf>
    <xf numFmtId="2" fontId="25" fillId="3" borderId="8" xfId="0" quotePrefix="1" applyNumberFormat="1" applyFont="1" applyFill="1" applyBorder="1" applyAlignment="1" applyProtection="1">
      <alignment horizontal="center" vertical="center"/>
      <protection locked="0"/>
    </xf>
    <xf numFmtId="0" fontId="10" fillId="2" borderId="8" xfId="0" quotePrefix="1" applyFont="1" applyFill="1" applyBorder="1" applyAlignment="1" applyProtection="1">
      <alignment horizontal="right"/>
    </xf>
    <xf numFmtId="0" fontId="10" fillId="2" borderId="8" xfId="0" quotePrefix="1" applyFont="1" applyFill="1" applyBorder="1" applyAlignment="1" applyProtection="1">
      <alignment horizontal="left"/>
    </xf>
    <xf numFmtId="164" fontId="10" fillId="2" borderId="8" xfId="0" quotePrefix="1" applyNumberFormat="1" applyFont="1" applyFill="1" applyBorder="1" applyAlignment="1" applyProtection="1">
      <alignment horizontal="right"/>
    </xf>
    <xf numFmtId="165" fontId="10" fillId="2" borderId="8" xfId="4" quotePrefix="1" applyNumberFormat="1" applyFont="1" applyFill="1" applyBorder="1" applyAlignment="1">
      <alignment vertical="center"/>
    </xf>
    <xf numFmtId="165" fontId="10" fillId="2" borderId="8" xfId="0" quotePrefix="1" applyNumberFormat="1" applyFont="1" applyFill="1" applyBorder="1" applyAlignment="1" applyProtection="1">
      <alignment horizontal="right"/>
    </xf>
    <xf numFmtId="168" fontId="25" fillId="2" borderId="8" xfId="0" quotePrefix="1" applyNumberFormat="1" applyFont="1" applyFill="1" applyBorder="1" applyAlignment="1" applyProtection="1">
      <alignment horizontal="right" vertical="center"/>
    </xf>
    <xf numFmtId="164" fontId="10" fillId="0" borderId="8" xfId="0" applyNumberFormat="1" applyFont="1" applyBorder="1" applyAlignment="1" applyProtection="1">
      <alignment horizontal="right" vertical="center"/>
    </xf>
    <xf numFmtId="169" fontId="10" fillId="0" borderId="37" xfId="0" applyNumberFormat="1" applyFont="1" applyBorder="1" applyAlignment="1" applyProtection="1">
      <alignment vertical="center"/>
    </xf>
    <xf numFmtId="0" fontId="10" fillId="2" borderId="8" xfId="0" applyFont="1" applyFill="1" applyBorder="1"/>
    <xf numFmtId="165" fontId="10" fillId="2" borderId="8" xfId="0" applyNumberFormat="1" applyFont="1" applyFill="1" applyBorder="1"/>
    <xf numFmtId="167" fontId="10" fillId="2" borderId="8" xfId="0" applyNumberFormat="1" applyFont="1" applyFill="1" applyBorder="1"/>
    <xf numFmtId="0" fontId="16" fillId="0" borderId="0" xfId="0" applyFont="1"/>
    <xf numFmtId="169" fontId="10" fillId="2" borderId="8" xfId="0" applyNumberFormat="1" applyFont="1" applyFill="1" applyBorder="1" applyAlignment="1" applyProtection="1">
      <alignment horizontal="right" vertical="center"/>
    </xf>
    <xf numFmtId="0" fontId="10" fillId="2" borderId="55" xfId="0" applyFont="1" applyFill="1" applyBorder="1" applyAlignment="1" applyProtection="1">
      <alignment horizontal="center" vertical="center" wrapText="1"/>
    </xf>
    <xf numFmtId="164" fontId="10" fillId="2" borderId="56" xfId="0" applyNumberFormat="1" applyFont="1" applyFill="1" applyBorder="1" applyAlignment="1" applyProtection="1">
      <alignment horizontal="center" vertical="center" wrapText="1"/>
    </xf>
    <xf numFmtId="0" fontId="29" fillId="4" borderId="58" xfId="0" applyFont="1" applyFill="1" applyBorder="1" applyAlignment="1" applyProtection="1">
      <alignment horizontal="center"/>
    </xf>
    <xf numFmtId="0" fontId="10" fillId="0" borderId="25" xfId="0" applyFont="1" applyBorder="1" applyAlignment="1" applyProtection="1">
      <alignment horizontal="right" vertical="center"/>
    </xf>
    <xf numFmtId="0" fontId="14" fillId="0" borderId="25" xfId="0" applyFont="1" applyBorder="1" applyAlignment="1" applyProtection="1">
      <alignment horizontal="right" vertical="center"/>
    </xf>
    <xf numFmtId="169" fontId="10" fillId="0" borderId="57" xfId="0" applyNumberFormat="1" applyFont="1" applyBorder="1" applyAlignment="1" applyProtection="1">
      <alignment vertical="center"/>
    </xf>
    <xf numFmtId="0" fontId="14" fillId="0" borderId="29" xfId="0" applyFont="1" applyBorder="1" applyAlignment="1" applyProtection="1">
      <alignment horizontal="left" vertical="center"/>
    </xf>
    <xf numFmtId="167" fontId="10" fillId="2" borderId="16" xfId="0" applyNumberFormat="1" applyFont="1" applyFill="1" applyBorder="1" applyAlignment="1" applyProtection="1">
      <alignment horizontal="right" vertical="center"/>
    </xf>
    <xf numFmtId="0" fontId="10" fillId="0" borderId="16" xfId="0" applyFont="1" applyBorder="1" applyAlignment="1" applyProtection="1">
      <alignment vertical="center"/>
    </xf>
    <xf numFmtId="164" fontId="10" fillId="0" borderId="16" xfId="0" applyNumberFormat="1" applyFont="1" applyBorder="1" applyAlignment="1" applyProtection="1">
      <alignment horizontal="right" vertical="center"/>
    </xf>
    <xf numFmtId="0" fontId="10" fillId="0" borderId="16" xfId="0" applyFont="1" applyBorder="1" applyAlignment="1" applyProtection="1">
      <alignment horizontal="center" vertical="center"/>
    </xf>
    <xf numFmtId="169" fontId="10" fillId="0" borderId="30" xfId="0" applyNumberFormat="1" applyFont="1" applyBorder="1" applyAlignment="1" applyProtection="1">
      <alignment vertical="center"/>
    </xf>
    <xf numFmtId="0" fontId="14" fillId="0" borderId="24" xfId="0" applyFont="1" applyBorder="1" applyAlignment="1" applyProtection="1">
      <alignment horizontal="center" vertical="center"/>
    </xf>
    <xf numFmtId="0" fontId="14" fillId="0" borderId="25" xfId="0" applyFont="1" applyBorder="1" applyAlignment="1" applyProtection="1">
      <alignment horizontal="center" vertical="center"/>
    </xf>
    <xf numFmtId="0" fontId="14" fillId="0" borderId="57" xfId="0" applyFont="1" applyBorder="1" applyAlignment="1" applyProtection="1">
      <alignment horizontal="center" vertical="center"/>
    </xf>
    <xf numFmtId="2" fontId="25" fillId="2" borderId="8" xfId="0" quotePrefix="1" applyNumberFormat="1" applyFont="1" applyFill="1" applyBorder="1" applyAlignment="1" applyProtection="1">
      <alignment horizontal="center" vertical="center"/>
    </xf>
    <xf numFmtId="0" fontId="10" fillId="0" borderId="21" xfId="0" applyFont="1" applyBorder="1" applyAlignment="1" applyProtection="1">
      <alignment horizontal="center" vertical="center" wrapText="1"/>
    </xf>
    <xf numFmtId="0" fontId="16" fillId="0" borderId="8" xfId="0" applyFont="1" applyBorder="1" applyAlignment="1" applyProtection="1">
      <alignment horizontal="center" vertical="center" wrapText="1"/>
    </xf>
    <xf numFmtId="2" fontId="25" fillId="3" borderId="23" xfId="0" quotePrefix="1" applyNumberFormat="1" applyFont="1" applyFill="1" applyBorder="1" applyAlignment="1" applyProtection="1">
      <alignment horizontal="center" vertical="center"/>
      <protection locked="0"/>
    </xf>
    <xf numFmtId="0" fontId="10" fillId="0" borderId="24" xfId="0" applyFont="1" applyBorder="1" applyAlignment="1" applyProtection="1">
      <alignment horizontal="center" vertical="center" wrapText="1"/>
    </xf>
    <xf numFmtId="0" fontId="10" fillId="0" borderId="25" xfId="0" applyFont="1" applyBorder="1" applyAlignment="1" applyProtection="1">
      <alignment horizontal="right" vertical="center" wrapText="1"/>
    </xf>
    <xf numFmtId="0" fontId="16" fillId="0" borderId="25" xfId="0" applyFont="1" applyBorder="1" applyAlignment="1" applyProtection="1">
      <alignment horizontal="center" vertical="center" wrapText="1"/>
    </xf>
    <xf numFmtId="0" fontId="10" fillId="0" borderId="57" xfId="0" applyFont="1" applyFill="1" applyBorder="1" applyAlignment="1" applyProtection="1">
      <alignment vertical="center" wrapText="1"/>
    </xf>
    <xf numFmtId="0" fontId="10" fillId="0" borderId="8" xfId="0" applyFont="1" applyBorder="1" applyAlignment="1" applyProtection="1">
      <alignment horizontal="right"/>
    </xf>
    <xf numFmtId="0" fontId="10" fillId="0" borderId="8" xfId="0" applyFont="1" applyBorder="1" applyAlignment="1" applyProtection="1">
      <alignment horizontal="right" wrapText="1"/>
    </xf>
    <xf numFmtId="0" fontId="10" fillId="0" borderId="37" xfId="0" applyFont="1" applyBorder="1" applyAlignment="1">
      <alignment horizontal="center" vertical="center" wrapText="1"/>
    </xf>
    <xf numFmtId="167" fontId="10" fillId="2" borderId="37" xfId="0" applyNumberFormat="1" applyFont="1" applyFill="1" applyBorder="1" applyAlignment="1">
      <alignment horizontal="center" vertical="center"/>
    </xf>
    <xf numFmtId="167" fontId="10" fillId="0" borderId="46" xfId="0" applyNumberFormat="1" applyFont="1" applyFill="1" applyBorder="1" applyAlignment="1" applyProtection="1">
      <alignment horizontal="center" vertical="center"/>
    </xf>
    <xf numFmtId="0" fontId="25" fillId="2" borderId="47" xfId="0" quotePrefix="1" applyFont="1" applyFill="1" applyBorder="1" applyAlignment="1">
      <alignment horizontal="center" vertical="center"/>
    </xf>
    <xf numFmtId="0" fontId="25" fillId="2" borderId="60" xfId="0" quotePrefix="1" applyFont="1" applyFill="1" applyBorder="1" applyAlignment="1">
      <alignment horizontal="center" vertical="center"/>
    </xf>
    <xf numFmtId="0" fontId="25" fillId="2" borderId="61" xfId="0" quotePrefix="1" applyFont="1" applyFill="1" applyBorder="1" applyAlignment="1" applyProtection="1">
      <alignment horizontal="center" vertical="center"/>
    </xf>
    <xf numFmtId="14" fontId="2" fillId="0" borderId="0" xfId="0" applyNumberFormat="1" applyFont="1" applyAlignment="1">
      <alignment vertical="center"/>
    </xf>
    <xf numFmtId="0" fontId="14" fillId="0" borderId="18" xfId="0" applyFont="1" applyBorder="1" applyAlignment="1" applyProtection="1">
      <alignment horizontal="left" vertical="center"/>
    </xf>
    <xf numFmtId="0" fontId="10" fillId="3" borderId="8" xfId="0" applyFont="1" applyFill="1" applyBorder="1" applyAlignment="1" applyProtection="1">
      <alignment horizontal="center" vertical="center" wrapText="1"/>
      <protection locked="0"/>
    </xf>
    <xf numFmtId="0" fontId="14" fillId="0" borderId="0" xfId="0" applyFont="1" applyBorder="1" applyAlignment="1" applyProtection="1">
      <alignment horizontal="left" vertical="center"/>
    </xf>
    <xf numFmtId="0" fontId="10" fillId="0" borderId="20" xfId="0" applyFont="1" applyBorder="1" applyAlignment="1" applyProtection="1">
      <alignment horizontal="center" vertical="center" wrapText="1"/>
    </xf>
    <xf numFmtId="0" fontId="10" fillId="0" borderId="8" xfId="0" applyFont="1" applyBorder="1" applyAlignment="1" applyProtection="1">
      <alignment horizontal="center" vertical="center" wrapText="1"/>
    </xf>
    <xf numFmtId="0" fontId="10" fillId="0" borderId="17" xfId="0" applyFont="1" applyBorder="1" applyAlignment="1" applyProtection="1">
      <alignment horizontal="left" vertical="center"/>
    </xf>
    <xf numFmtId="0" fontId="10" fillId="0" borderId="37" xfId="0" applyFont="1" applyBorder="1" applyAlignment="1" applyProtection="1">
      <alignment horizontal="left"/>
    </xf>
    <xf numFmtId="0" fontId="10" fillId="0" borderId="17" xfId="0" applyFont="1" applyBorder="1" applyAlignment="1" applyProtection="1">
      <alignment horizontal="left"/>
    </xf>
    <xf numFmtId="0" fontId="10" fillId="0" borderId="38" xfId="0" applyFont="1" applyBorder="1" applyAlignment="1" applyProtection="1">
      <alignment horizontal="left"/>
    </xf>
    <xf numFmtId="0" fontId="10" fillId="0" borderId="47" xfId="0" applyFont="1" applyBorder="1" applyAlignment="1" applyProtection="1">
      <alignment horizontal="left" vertical="center"/>
    </xf>
    <xf numFmtId="0" fontId="18" fillId="5" borderId="20" xfId="0" applyFont="1" applyFill="1" applyBorder="1" applyAlignment="1" applyProtection="1">
      <alignment horizontal="right"/>
    </xf>
    <xf numFmtId="0" fontId="10" fillId="0" borderId="17" xfId="0" applyFont="1" applyBorder="1" applyAlignment="1" applyProtection="1">
      <alignment horizontal="left"/>
    </xf>
    <xf numFmtId="0" fontId="10" fillId="0" borderId="38" xfId="0" applyFont="1" applyBorder="1" applyAlignment="1" applyProtection="1">
      <alignment horizontal="left"/>
    </xf>
    <xf numFmtId="0" fontId="4" fillId="0" borderId="37" xfId="0" applyFont="1" applyBorder="1" applyAlignment="1" applyProtection="1">
      <alignment horizontal="left"/>
    </xf>
    <xf numFmtId="0" fontId="10" fillId="0" borderId="67" xfId="0" applyFont="1" applyBorder="1" applyAlignment="1" applyProtection="1">
      <alignment horizontal="left"/>
    </xf>
    <xf numFmtId="0" fontId="10" fillId="0" borderId="68" xfId="0" applyFont="1" applyBorder="1" applyAlignment="1" applyProtection="1">
      <alignment horizontal="left"/>
    </xf>
    <xf numFmtId="0" fontId="10" fillId="2" borderId="52" xfId="0" applyFont="1" applyFill="1" applyBorder="1" applyAlignment="1" applyProtection="1">
      <alignment horizontal="right"/>
    </xf>
    <xf numFmtId="0" fontId="4" fillId="0" borderId="70" xfId="0" applyFont="1" applyBorder="1" applyAlignment="1" applyProtection="1">
      <alignment horizontal="left"/>
    </xf>
    <xf numFmtId="0" fontId="4" fillId="0" borderId="22" xfId="0" applyFont="1" applyBorder="1" applyAlignment="1" applyProtection="1">
      <alignment horizontal="left" vertical="center"/>
    </xf>
    <xf numFmtId="0" fontId="4" fillId="0" borderId="22" xfId="0" applyFont="1" applyBorder="1"/>
    <xf numFmtId="0" fontId="10" fillId="0" borderId="8" xfId="0" applyFont="1" applyBorder="1"/>
    <xf numFmtId="0" fontId="4" fillId="0" borderId="24" xfId="0" applyFont="1" applyBorder="1"/>
    <xf numFmtId="0" fontId="10" fillId="0" borderId="25" xfId="0" applyFont="1" applyBorder="1"/>
    <xf numFmtId="0" fontId="4" fillId="0" borderId="8" xfId="0" applyFont="1" applyBorder="1" applyAlignment="1" applyProtection="1">
      <alignment horizontal="right" vertical="center" wrapText="1"/>
    </xf>
    <xf numFmtId="0" fontId="10" fillId="0" borderId="48" xfId="0" applyFont="1" applyFill="1" applyBorder="1" applyAlignment="1" applyProtection="1">
      <alignment horizontal="right"/>
    </xf>
    <xf numFmtId="0" fontId="10" fillId="0" borderId="0" xfId="0" applyFont="1" applyFill="1" applyBorder="1" applyAlignment="1" applyProtection="1">
      <alignment vertical="center" wrapText="1"/>
    </xf>
    <xf numFmtId="0" fontId="10" fillId="0" borderId="0" xfId="0" applyFont="1" applyFill="1" applyBorder="1" applyProtection="1"/>
    <xf numFmtId="14" fontId="10" fillId="0" borderId="8" xfId="0" applyNumberFormat="1" applyFont="1" applyFill="1" applyBorder="1" applyAlignment="1" applyProtection="1">
      <alignment horizontal="center" vertical="center" wrapText="1"/>
    </xf>
    <xf numFmtId="14" fontId="10" fillId="0" borderId="37" xfId="0" applyNumberFormat="1" applyFont="1" applyFill="1" applyBorder="1" applyAlignment="1" applyProtection="1">
      <alignment horizontal="center" vertical="center" wrapText="1"/>
    </xf>
    <xf numFmtId="0" fontId="10" fillId="3" borderId="27" xfId="0" applyFont="1" applyFill="1" applyBorder="1" applyAlignment="1" applyProtection="1">
      <alignment vertical="top"/>
      <protection locked="0"/>
    </xf>
    <xf numFmtId="0" fontId="10" fillId="3" borderId="63" xfId="0" applyFont="1" applyFill="1" applyBorder="1" applyAlignment="1" applyProtection="1">
      <alignment vertical="top"/>
      <protection locked="0"/>
    </xf>
    <xf numFmtId="0" fontId="10" fillId="3" borderId="28" xfId="0" applyFont="1" applyFill="1" applyBorder="1" applyAlignment="1" applyProtection="1">
      <alignment vertical="top"/>
      <protection locked="0"/>
    </xf>
    <xf numFmtId="0" fontId="10" fillId="3" borderId="0" xfId="0" applyFont="1" applyFill="1" applyBorder="1" applyAlignment="1" applyProtection="1">
      <alignment vertical="top"/>
      <protection locked="0"/>
    </xf>
    <xf numFmtId="0" fontId="10" fillId="3" borderId="64" xfId="0" applyFont="1" applyFill="1" applyBorder="1" applyAlignment="1" applyProtection="1">
      <alignment vertical="top"/>
      <protection locked="0"/>
    </xf>
    <xf numFmtId="0" fontId="10" fillId="3" borderId="59" xfId="0" applyFont="1" applyFill="1" applyBorder="1" applyAlignment="1" applyProtection="1">
      <alignment vertical="top"/>
      <protection locked="0"/>
    </xf>
    <xf numFmtId="0" fontId="10" fillId="3" borderId="18" xfId="0" applyFont="1" applyFill="1" applyBorder="1" applyAlignment="1" applyProtection="1">
      <alignment vertical="top"/>
      <protection locked="0"/>
    </xf>
    <xf numFmtId="0" fontId="10" fillId="3" borderId="65" xfId="0" applyFont="1" applyFill="1" applyBorder="1" applyAlignment="1" applyProtection="1">
      <alignment vertical="top"/>
      <protection locked="0"/>
    </xf>
    <xf numFmtId="167" fontId="18" fillId="5" borderId="25" xfId="0" applyNumberFormat="1" applyFont="1" applyFill="1" applyBorder="1" applyAlignment="1" applyProtection="1">
      <alignment horizontal="right" vertical="center"/>
    </xf>
    <xf numFmtId="0" fontId="10" fillId="3" borderId="25" xfId="0" applyFont="1" applyFill="1" applyBorder="1" applyAlignment="1" applyProtection="1">
      <alignment horizontal="center" vertical="center"/>
      <protection locked="0"/>
    </xf>
    <xf numFmtId="0" fontId="4" fillId="0" borderId="37" xfId="0" applyFont="1" applyBorder="1" applyAlignment="1" applyProtection="1">
      <alignment horizontal="left"/>
    </xf>
    <xf numFmtId="0" fontId="3" fillId="0" borderId="0" xfId="1" applyAlignment="1" applyProtection="1">
      <alignment wrapText="1"/>
    </xf>
    <xf numFmtId="0" fontId="14" fillId="0" borderId="18" xfId="0" applyFont="1" applyBorder="1" applyAlignment="1" applyProtection="1">
      <alignment horizontal="left" vertical="center"/>
    </xf>
    <xf numFmtId="0" fontId="18" fillId="5" borderId="20" xfId="0" applyFont="1" applyFill="1" applyBorder="1" applyAlignment="1" applyProtection="1">
      <alignment horizontal="right"/>
    </xf>
    <xf numFmtId="0" fontId="14" fillId="0" borderId="0" xfId="0" applyFont="1" applyBorder="1" applyAlignment="1" applyProtection="1">
      <alignment horizontal="left" vertical="center"/>
    </xf>
    <xf numFmtId="0" fontId="10" fillId="0" borderId="20" xfId="0" applyFont="1" applyBorder="1" applyAlignment="1" applyProtection="1">
      <alignment horizontal="center" vertical="center" wrapText="1"/>
    </xf>
    <xf numFmtId="0" fontId="10" fillId="0" borderId="8" xfId="0" applyFont="1" applyBorder="1" applyAlignment="1" applyProtection="1">
      <alignment horizontal="center" vertical="center" wrapText="1"/>
    </xf>
    <xf numFmtId="0" fontId="10" fillId="0" borderId="17" xfId="0" applyFont="1" applyBorder="1" applyAlignment="1" applyProtection="1">
      <alignment horizontal="left" vertical="center"/>
    </xf>
    <xf numFmtId="0" fontId="10" fillId="0" borderId="47" xfId="0" applyFont="1" applyBorder="1" applyAlignment="1" applyProtection="1">
      <alignment horizontal="left" vertical="center"/>
    </xf>
    <xf numFmtId="0" fontId="10" fillId="0" borderId="37" xfId="0" applyFont="1" applyBorder="1" applyAlignment="1" applyProtection="1">
      <alignment horizontal="left"/>
    </xf>
    <xf numFmtId="0" fontId="10" fillId="0" borderId="17" xfId="0" applyFont="1" applyBorder="1" applyAlignment="1" applyProtection="1">
      <alignment horizontal="left"/>
    </xf>
    <xf numFmtId="0" fontId="10" fillId="0" borderId="38" xfId="0" applyFont="1" applyBorder="1" applyAlignment="1" applyProtection="1">
      <alignment horizontal="left"/>
    </xf>
    <xf numFmtId="0" fontId="4" fillId="0" borderId="37" xfId="0" applyFont="1" applyBorder="1" applyAlignment="1" applyProtection="1">
      <alignment horizontal="left"/>
    </xf>
    <xf numFmtId="0" fontId="10" fillId="3" borderId="8" xfId="0" applyFont="1" applyFill="1" applyBorder="1" applyAlignment="1" applyProtection="1">
      <alignment horizontal="center" vertical="center" wrapText="1"/>
      <protection locked="0"/>
    </xf>
    <xf numFmtId="0" fontId="10" fillId="3" borderId="25" xfId="0" applyFont="1" applyFill="1" applyBorder="1" applyAlignment="1" applyProtection="1">
      <alignment horizontal="center" vertical="center" wrapText="1"/>
      <protection locked="0"/>
    </xf>
    <xf numFmtId="0" fontId="4" fillId="3" borderId="0" xfId="0" applyFont="1" applyFill="1" applyBorder="1" applyAlignment="1" applyProtection="1">
      <alignment vertical="top"/>
      <protection locked="0"/>
    </xf>
    <xf numFmtId="0" fontId="10" fillId="3" borderId="62" xfId="0" applyFont="1" applyFill="1" applyBorder="1" applyAlignment="1" applyProtection="1">
      <alignment vertical="top"/>
    </xf>
    <xf numFmtId="0" fontId="10" fillId="3" borderId="27" xfId="0" applyFont="1" applyFill="1" applyBorder="1" applyAlignment="1" applyProtection="1">
      <alignment vertical="top"/>
    </xf>
    <xf numFmtId="0" fontId="10" fillId="3" borderId="63" xfId="0" applyFont="1" applyFill="1" applyBorder="1" applyAlignment="1" applyProtection="1">
      <alignment vertical="top"/>
    </xf>
    <xf numFmtId="0" fontId="10" fillId="3" borderId="28" xfId="0" applyFont="1" applyFill="1" applyBorder="1" applyAlignment="1" applyProtection="1">
      <alignment vertical="top"/>
    </xf>
    <xf numFmtId="0" fontId="10" fillId="3" borderId="0" xfId="0" applyFont="1" applyFill="1" applyBorder="1" applyAlignment="1" applyProtection="1">
      <alignment vertical="top"/>
    </xf>
    <xf numFmtId="0" fontId="10" fillId="3" borderId="64" xfId="0" applyFont="1" applyFill="1" applyBorder="1" applyAlignment="1" applyProtection="1">
      <alignment vertical="top"/>
    </xf>
    <xf numFmtId="0" fontId="4" fillId="3" borderId="0" xfId="0" applyFont="1" applyFill="1" applyBorder="1" applyAlignment="1" applyProtection="1">
      <alignment vertical="top"/>
    </xf>
    <xf numFmtId="0" fontId="10" fillId="0" borderId="37" xfId="0" applyFont="1" applyBorder="1" applyAlignment="1" applyProtection="1">
      <alignment horizontal="center" vertical="center" wrapText="1"/>
    </xf>
    <xf numFmtId="0" fontId="10" fillId="3" borderId="8" xfId="0" applyFont="1" applyFill="1" applyBorder="1" applyAlignment="1" applyProtection="1">
      <alignment horizontal="center" vertical="center"/>
    </xf>
    <xf numFmtId="167" fontId="10" fillId="2" borderId="37" xfId="0" applyNumberFormat="1" applyFont="1" applyFill="1" applyBorder="1" applyAlignment="1" applyProtection="1">
      <alignment horizontal="center" vertical="center"/>
    </xf>
    <xf numFmtId="0" fontId="10" fillId="3" borderId="25" xfId="0" applyFont="1" applyFill="1" applyBorder="1" applyAlignment="1" applyProtection="1">
      <alignment horizontal="center" vertical="center"/>
    </xf>
    <xf numFmtId="0" fontId="10" fillId="0" borderId="0" xfId="0" applyFont="1" applyAlignment="1" applyProtection="1">
      <alignment horizontal="center" vertical="center"/>
    </xf>
    <xf numFmtId="0" fontId="10" fillId="3" borderId="16" xfId="0" applyFont="1" applyFill="1" applyBorder="1" applyAlignment="1" applyProtection="1">
      <alignment horizontal="center" vertical="center" wrapText="1"/>
    </xf>
    <xf numFmtId="0" fontId="10" fillId="3" borderId="30" xfId="0" applyFont="1" applyFill="1" applyBorder="1" applyAlignment="1" applyProtection="1">
      <alignment horizontal="center" vertical="center" wrapText="1"/>
    </xf>
    <xf numFmtId="0" fontId="25" fillId="2" borderId="47" xfId="0" quotePrefix="1" applyFont="1" applyFill="1" applyBorder="1" applyAlignment="1" applyProtection="1">
      <alignment horizontal="center" vertical="center"/>
    </xf>
    <xf numFmtId="0" fontId="10" fillId="3" borderId="8" xfId="0" applyFont="1" applyFill="1" applyBorder="1" applyAlignment="1" applyProtection="1">
      <alignment horizontal="center" vertical="center" wrapText="1"/>
    </xf>
    <xf numFmtId="0" fontId="10" fillId="3" borderId="23" xfId="0" applyFont="1" applyFill="1" applyBorder="1" applyAlignment="1" applyProtection="1">
      <alignment horizontal="center" vertical="center" wrapText="1"/>
    </xf>
    <xf numFmtId="0" fontId="10" fillId="3" borderId="52" xfId="0" applyFont="1" applyFill="1" applyBorder="1" applyAlignment="1" applyProtection="1">
      <alignment horizontal="center" vertical="center" wrapText="1"/>
    </xf>
    <xf numFmtId="0" fontId="10" fillId="3" borderId="53" xfId="0" applyFont="1" applyFill="1" applyBorder="1" applyAlignment="1" applyProtection="1">
      <alignment horizontal="center" vertical="center" wrapText="1"/>
    </xf>
    <xf numFmtId="0" fontId="25" fillId="2" borderId="60" xfId="0" quotePrefix="1" applyFont="1" applyFill="1" applyBorder="1" applyAlignment="1" applyProtection="1">
      <alignment horizontal="center" vertical="center"/>
    </xf>
    <xf numFmtId="0" fontId="10" fillId="3" borderId="59" xfId="0" applyFont="1" applyFill="1" applyBorder="1" applyAlignment="1" applyProtection="1">
      <alignment vertical="top"/>
    </xf>
    <xf numFmtId="0" fontId="10" fillId="3" borderId="18" xfId="0" applyFont="1" applyFill="1" applyBorder="1" applyAlignment="1" applyProtection="1">
      <alignment vertical="top"/>
    </xf>
    <xf numFmtId="0" fontId="10" fillId="3" borderId="65" xfId="0" applyFont="1" applyFill="1" applyBorder="1" applyAlignment="1" applyProtection="1">
      <alignment vertical="top"/>
    </xf>
    <xf numFmtId="2" fontId="25" fillId="3" borderId="8" xfId="0" quotePrefix="1" applyNumberFormat="1" applyFont="1" applyFill="1" applyBorder="1" applyAlignment="1" applyProtection="1">
      <alignment horizontal="center" vertical="center"/>
    </xf>
    <xf numFmtId="2" fontId="25" fillId="3" borderId="23" xfId="0" quotePrefix="1" applyNumberFormat="1" applyFont="1" applyFill="1" applyBorder="1" applyAlignment="1" applyProtection="1">
      <alignment horizontal="center" vertical="center"/>
    </xf>
    <xf numFmtId="0" fontId="10" fillId="3" borderId="8" xfId="0" applyFont="1" applyFill="1" applyBorder="1" applyAlignment="1" applyProtection="1">
      <alignment horizontal="center" vertical="center" wrapText="1"/>
    </xf>
    <xf numFmtId="0" fontId="10" fillId="3" borderId="25" xfId="0" applyFont="1" applyFill="1" applyBorder="1" applyAlignment="1" applyProtection="1">
      <alignment horizontal="center" vertical="center" wrapText="1"/>
    </xf>
    <xf numFmtId="0" fontId="16" fillId="0" borderId="0" xfId="0" applyFont="1" applyProtection="1"/>
    <xf numFmtId="165" fontId="10" fillId="2" borderId="8" xfId="4" quotePrefix="1" applyNumberFormat="1" applyFont="1" applyFill="1" applyBorder="1" applyAlignment="1" applyProtection="1">
      <alignment vertical="center"/>
    </xf>
    <xf numFmtId="0" fontId="26" fillId="0" borderId="0" xfId="0" applyFont="1" applyFill="1" applyBorder="1" applyAlignment="1" applyProtection="1">
      <alignment horizontal="right" vertical="center" wrapText="1"/>
    </xf>
    <xf numFmtId="165" fontId="10" fillId="2" borderId="8" xfId="4" applyNumberFormat="1" applyFont="1" applyFill="1" applyBorder="1" applyAlignment="1" applyProtection="1">
      <alignment vertical="center"/>
    </xf>
    <xf numFmtId="166" fontId="28" fillId="0" borderId="0" xfId="4" applyNumberFormat="1" applyFont="1" applyFill="1" applyBorder="1" applyAlignment="1" applyProtection="1">
      <alignment horizontal="right" vertical="center"/>
    </xf>
    <xf numFmtId="0" fontId="0" fillId="0" borderId="0" xfId="0" applyFill="1" applyBorder="1" applyProtection="1"/>
    <xf numFmtId="170" fontId="0" fillId="0" borderId="0" xfId="0" applyNumberFormat="1" applyFill="1" applyBorder="1" applyProtection="1"/>
    <xf numFmtId="165" fontId="0" fillId="0" borderId="0" xfId="0" applyNumberFormat="1" applyFill="1" applyBorder="1" applyProtection="1"/>
    <xf numFmtId="0" fontId="4" fillId="0" borderId="22" xfId="0" applyFont="1" applyBorder="1" applyProtection="1"/>
    <xf numFmtId="0" fontId="10" fillId="0" borderId="8" xfId="0" applyFont="1" applyBorder="1" applyProtection="1"/>
    <xf numFmtId="0" fontId="10" fillId="2" borderId="8" xfId="0" applyFont="1" applyFill="1" applyBorder="1" applyProtection="1"/>
    <xf numFmtId="0" fontId="4" fillId="0" borderId="24" xfId="0" applyFont="1" applyBorder="1" applyProtection="1"/>
    <xf numFmtId="0" fontId="10" fillId="0" borderId="25" xfId="0" applyFont="1" applyBorder="1" applyProtection="1"/>
    <xf numFmtId="165" fontId="10" fillId="2" borderId="8" xfId="0" applyNumberFormat="1" applyFont="1" applyFill="1" applyBorder="1" applyProtection="1"/>
    <xf numFmtId="167" fontId="10" fillId="2" borderId="8" xfId="0" applyNumberFormat="1" applyFont="1" applyFill="1" applyBorder="1" applyProtection="1"/>
    <xf numFmtId="0" fontId="10" fillId="0" borderId="0" xfId="0" applyFont="1" applyAlignment="1" applyProtection="1">
      <alignment vertical="center"/>
    </xf>
    <xf numFmtId="0" fontId="14" fillId="3" borderId="62" xfId="0" applyFont="1" applyFill="1" applyBorder="1" applyAlignment="1" applyProtection="1">
      <alignment vertical="top"/>
      <protection locked="0"/>
    </xf>
    <xf numFmtId="0" fontId="4" fillId="0" borderId="16" xfId="0" applyFont="1" applyBorder="1" applyAlignment="1" applyProtection="1">
      <alignment vertical="center"/>
    </xf>
    <xf numFmtId="0" fontId="4" fillId="0" borderId="16" xfId="0" applyFont="1" applyBorder="1" applyAlignment="1" applyProtection="1">
      <alignment horizontal="center" vertical="center"/>
    </xf>
    <xf numFmtId="165" fontId="10" fillId="2" borderId="48" xfId="0" quotePrefix="1" applyNumberFormat="1" applyFont="1" applyFill="1" applyBorder="1" applyAlignment="1" applyProtection="1">
      <alignment horizontal="right"/>
    </xf>
    <xf numFmtId="169" fontId="10" fillId="0" borderId="21" xfId="0" applyNumberFormat="1" applyFont="1" applyBorder="1" applyAlignment="1" applyProtection="1">
      <alignment vertical="center"/>
    </xf>
    <xf numFmtId="0" fontId="4" fillId="3" borderId="20" xfId="0" applyFont="1" applyFill="1" applyBorder="1" applyAlignment="1" applyProtection="1">
      <alignment horizontal="center" vertical="center" wrapText="1"/>
    </xf>
    <xf numFmtId="0" fontId="4" fillId="3" borderId="8" xfId="0" applyFont="1" applyFill="1" applyBorder="1" applyAlignment="1" applyProtection="1">
      <alignment horizontal="center" vertical="center" wrapText="1"/>
    </xf>
    <xf numFmtId="0" fontId="10" fillId="2" borderId="8" xfId="0" applyFont="1" applyFill="1" applyBorder="1" applyAlignment="1" applyProtection="1">
      <alignment horizontal="center" vertical="center" wrapText="1"/>
    </xf>
    <xf numFmtId="0" fontId="4" fillId="3" borderId="20" xfId="0" applyFont="1" applyFill="1" applyBorder="1" applyAlignment="1" applyProtection="1">
      <alignment horizontal="center" vertical="center" wrapText="1"/>
      <protection locked="0"/>
    </xf>
    <xf numFmtId="0" fontId="4" fillId="3" borderId="8" xfId="0" applyFont="1" applyFill="1" applyBorder="1" applyAlignment="1" applyProtection="1">
      <alignment horizontal="center" vertical="center" wrapText="1"/>
      <protection locked="0"/>
    </xf>
    <xf numFmtId="0" fontId="31" fillId="0" borderId="0" xfId="1" applyFont="1" applyAlignment="1" applyProtection="1">
      <alignment horizontal="center" wrapText="1"/>
    </xf>
    <xf numFmtId="0" fontId="10" fillId="0" borderId="27" xfId="0" applyFont="1" applyBorder="1" applyAlignment="1" applyProtection="1">
      <alignment horizontal="left" vertical="center"/>
    </xf>
    <xf numFmtId="0" fontId="14" fillId="0" borderId="61" xfId="0" applyFont="1" applyBorder="1" applyAlignment="1" applyProtection="1">
      <alignment horizontal="center" vertical="center"/>
    </xf>
    <xf numFmtId="0" fontId="14" fillId="0" borderId="26" xfId="0" applyFont="1" applyBorder="1" applyAlignment="1" applyProtection="1">
      <alignment horizontal="center" vertical="center"/>
    </xf>
    <xf numFmtId="0" fontId="14" fillId="0" borderId="66" xfId="0" applyFont="1" applyBorder="1" applyAlignment="1" applyProtection="1">
      <alignment horizontal="center" vertical="center"/>
    </xf>
    <xf numFmtId="0" fontId="14" fillId="0" borderId="61" xfId="0" quotePrefix="1" applyFont="1" applyBorder="1" applyAlignment="1" applyProtection="1">
      <alignment horizontal="center" vertical="center"/>
    </xf>
    <xf numFmtId="0" fontId="14" fillId="0" borderId="26" xfId="0" quotePrefix="1" applyFont="1" applyBorder="1" applyAlignment="1" applyProtection="1">
      <alignment horizontal="center" vertical="center"/>
    </xf>
    <xf numFmtId="0" fontId="14" fillId="0" borderId="66" xfId="0" quotePrefix="1" applyFont="1" applyBorder="1" applyAlignment="1" applyProtection="1">
      <alignment horizontal="center" vertical="center"/>
    </xf>
    <xf numFmtId="49" fontId="4" fillId="3" borderId="20" xfId="0" quotePrefix="1" applyNumberFormat="1" applyFont="1" applyFill="1" applyBorder="1" applyAlignment="1" applyProtection="1">
      <alignment horizontal="center" vertical="center" wrapText="1"/>
    </xf>
    <xf numFmtId="49" fontId="10" fillId="3" borderId="20" xfId="0" applyNumberFormat="1" applyFont="1" applyFill="1" applyBorder="1" applyAlignment="1" applyProtection="1">
      <alignment horizontal="center" vertical="center" wrapText="1"/>
    </xf>
    <xf numFmtId="49" fontId="10" fillId="3" borderId="39" xfId="0" applyNumberFormat="1" applyFont="1" applyFill="1" applyBorder="1" applyAlignment="1" applyProtection="1">
      <alignment horizontal="center" vertical="center" wrapText="1"/>
    </xf>
    <xf numFmtId="0" fontId="4" fillId="3" borderId="8" xfId="0" applyFont="1" applyFill="1" applyBorder="1" applyAlignment="1" applyProtection="1">
      <alignment horizontal="center"/>
    </xf>
    <xf numFmtId="0" fontId="10" fillId="3" borderId="8" xfId="0" applyFont="1" applyFill="1" applyBorder="1" applyAlignment="1" applyProtection="1">
      <alignment horizontal="center"/>
    </xf>
    <xf numFmtId="0" fontId="10" fillId="3" borderId="37" xfId="0" applyFont="1" applyFill="1" applyBorder="1" applyAlignment="1" applyProtection="1">
      <alignment horizontal="center"/>
    </xf>
    <xf numFmtId="49" fontId="4" fillId="3" borderId="8" xfId="0" quotePrefix="1" applyNumberFormat="1" applyFont="1" applyFill="1" applyBorder="1" applyAlignment="1" applyProtection="1">
      <alignment horizontal="center" vertical="center" wrapText="1"/>
    </xf>
    <xf numFmtId="49" fontId="10" fillId="3" borderId="8" xfId="0" applyNumberFormat="1" applyFont="1" applyFill="1" applyBorder="1" applyAlignment="1" applyProtection="1">
      <alignment horizontal="center" vertical="center" wrapText="1"/>
    </xf>
    <xf numFmtId="49" fontId="10" fillId="3" borderId="37" xfId="0" applyNumberFormat="1" applyFont="1" applyFill="1" applyBorder="1" applyAlignment="1" applyProtection="1">
      <alignment horizontal="center" vertical="center" wrapText="1"/>
    </xf>
    <xf numFmtId="0" fontId="4" fillId="0" borderId="46" xfId="0" applyFont="1" applyFill="1" applyBorder="1" applyAlignment="1" applyProtection="1">
      <alignment horizontal="right" vertical="center" wrapText="1"/>
    </xf>
    <xf numFmtId="0" fontId="10" fillId="0" borderId="35" xfId="0" applyFont="1" applyFill="1" applyBorder="1" applyAlignment="1" applyProtection="1">
      <alignment horizontal="right" vertical="center" wrapText="1"/>
    </xf>
    <xf numFmtId="0" fontId="10" fillId="0" borderId="49" xfId="0" applyFont="1" applyFill="1" applyBorder="1" applyAlignment="1" applyProtection="1">
      <alignment horizontal="right" vertical="center" wrapText="1"/>
    </xf>
    <xf numFmtId="0" fontId="14" fillId="0" borderId="26" xfId="0" applyFont="1" applyBorder="1" applyAlignment="1" applyProtection="1">
      <alignment horizontal="left" vertical="center"/>
    </xf>
    <xf numFmtId="0" fontId="14" fillId="0" borderId="18" xfId="0" applyFont="1" applyBorder="1" applyAlignment="1" applyProtection="1">
      <alignment horizontal="left" vertical="center"/>
    </xf>
    <xf numFmtId="0" fontId="10" fillId="0" borderId="40" xfId="0" applyFont="1" applyBorder="1" applyAlignment="1" applyProtection="1">
      <alignment horizontal="center" vertical="center" wrapText="1"/>
    </xf>
    <xf numFmtId="0" fontId="10" fillId="0" borderId="41" xfId="0" applyFont="1" applyBorder="1" applyAlignment="1" applyProtection="1">
      <alignment horizontal="center" vertical="center" wrapText="1"/>
    </xf>
    <xf numFmtId="0" fontId="10" fillId="0" borderId="42" xfId="0" applyFont="1" applyBorder="1" applyAlignment="1" applyProtection="1">
      <alignment horizontal="center" vertical="center" wrapText="1"/>
    </xf>
    <xf numFmtId="0" fontId="10" fillId="0" borderId="43" xfId="0" applyFont="1" applyBorder="1" applyAlignment="1" applyProtection="1">
      <alignment horizontal="center" vertical="center" wrapText="1"/>
    </xf>
    <xf numFmtId="0" fontId="4" fillId="0" borderId="42" xfId="0" applyFont="1" applyBorder="1" applyAlignment="1" applyProtection="1">
      <alignment horizontal="center" vertical="center" wrapText="1"/>
    </xf>
    <xf numFmtId="0" fontId="10" fillId="0" borderId="44" xfId="0" applyFont="1" applyBorder="1" applyAlignment="1" applyProtection="1">
      <alignment horizontal="center" vertical="center" wrapText="1"/>
    </xf>
    <xf numFmtId="0" fontId="10" fillId="0" borderId="45" xfId="0" applyFont="1" applyBorder="1" applyAlignment="1" applyProtection="1">
      <alignment horizontal="center" vertical="center" wrapText="1"/>
    </xf>
    <xf numFmtId="0" fontId="10" fillId="0" borderId="31" xfId="0" applyFont="1" applyBorder="1" applyAlignment="1" applyProtection="1">
      <alignment horizontal="center" vertical="center" wrapText="1"/>
    </xf>
    <xf numFmtId="0" fontId="10" fillId="0" borderId="47" xfId="0" applyFont="1" applyBorder="1" applyAlignment="1" applyProtection="1">
      <alignment horizontal="center" vertical="center"/>
    </xf>
    <xf numFmtId="0" fontId="14" fillId="0" borderId="61" xfId="0" applyFont="1" applyBorder="1" applyAlignment="1" applyProtection="1">
      <alignment horizontal="center" vertical="top"/>
    </xf>
    <xf numFmtId="0" fontId="14" fillId="0" borderId="26" xfId="0" applyFont="1" applyBorder="1" applyAlignment="1" applyProtection="1">
      <alignment horizontal="center" vertical="top"/>
    </xf>
    <xf numFmtId="0" fontId="14" fillId="0" borderId="66" xfId="0" applyFont="1" applyBorder="1" applyAlignment="1" applyProtection="1">
      <alignment horizontal="center" vertical="top"/>
    </xf>
    <xf numFmtId="0" fontId="18" fillId="5" borderId="19" xfId="0" applyFont="1" applyFill="1" applyBorder="1" applyAlignment="1" applyProtection="1">
      <alignment horizontal="right"/>
    </xf>
    <xf numFmtId="0" fontId="18" fillId="5" borderId="20" xfId="0" applyFont="1" applyFill="1" applyBorder="1" applyAlignment="1" applyProtection="1">
      <alignment horizontal="right"/>
    </xf>
    <xf numFmtId="0" fontId="17" fillId="5" borderId="20" xfId="0" applyFont="1" applyFill="1" applyBorder="1" applyAlignment="1" applyProtection="1">
      <alignment horizontal="left"/>
    </xf>
    <xf numFmtId="0" fontId="17" fillId="5" borderId="21" xfId="0" applyFont="1" applyFill="1" applyBorder="1" applyAlignment="1" applyProtection="1">
      <alignment horizontal="left"/>
    </xf>
    <xf numFmtId="0" fontId="14" fillId="0" borderId="0" xfId="0" applyFont="1" applyBorder="1" applyAlignment="1" applyProtection="1">
      <alignment horizontal="left" vertical="center"/>
    </xf>
    <xf numFmtId="0" fontId="10" fillId="0" borderId="20"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10" fillId="3" borderId="25" xfId="0" applyFont="1" applyFill="1" applyBorder="1" applyAlignment="1" applyProtection="1">
      <alignment horizontal="center" vertical="center" wrapText="1"/>
    </xf>
    <xf numFmtId="0" fontId="10" fillId="0" borderId="47" xfId="0" applyFont="1" applyBorder="1" applyAlignment="1" applyProtection="1">
      <alignment horizontal="center" vertical="center" wrapText="1"/>
    </xf>
    <xf numFmtId="0" fontId="10" fillId="0" borderId="17" xfId="0" applyFont="1" applyBorder="1" applyAlignment="1" applyProtection="1">
      <alignment horizontal="center" vertical="center" wrapText="1"/>
    </xf>
    <xf numFmtId="0" fontId="10" fillId="0" borderId="48" xfId="0" applyFont="1" applyBorder="1" applyAlignment="1" applyProtection="1">
      <alignment horizontal="center" vertical="center" wrapText="1"/>
    </xf>
    <xf numFmtId="0" fontId="10" fillId="0" borderId="17" xfId="0" applyFont="1" applyBorder="1" applyAlignment="1" applyProtection="1">
      <alignment horizontal="left" vertical="center"/>
    </xf>
    <xf numFmtId="0" fontId="10" fillId="0" borderId="38" xfId="0" applyFont="1" applyBorder="1" applyAlignment="1" applyProtection="1">
      <alignment horizontal="left" vertical="center"/>
    </xf>
    <xf numFmtId="0" fontId="10" fillId="0" borderId="17" xfId="0" applyFont="1" applyBorder="1" applyAlignment="1" applyProtection="1">
      <alignment horizontal="center" vertical="center"/>
    </xf>
    <xf numFmtId="0" fontId="10" fillId="0" borderId="38" xfId="0" applyFont="1" applyBorder="1" applyAlignment="1" applyProtection="1">
      <alignment horizontal="center" vertical="center"/>
    </xf>
    <xf numFmtId="0" fontId="14" fillId="0" borderId="47" xfId="0" applyFont="1" applyBorder="1" applyAlignment="1" applyProtection="1">
      <alignment horizontal="left" vertical="center"/>
    </xf>
    <xf numFmtId="0" fontId="14" fillId="0" borderId="17" xfId="0" applyFont="1" applyBorder="1" applyAlignment="1" applyProtection="1">
      <alignment horizontal="left" vertical="center"/>
    </xf>
    <xf numFmtId="0" fontId="14" fillId="0" borderId="48" xfId="0" applyFont="1" applyBorder="1" applyAlignment="1" applyProtection="1">
      <alignment horizontal="left" vertical="center"/>
    </xf>
    <xf numFmtId="0" fontId="10" fillId="0" borderId="37" xfId="0" applyFont="1" applyBorder="1" applyAlignment="1" applyProtection="1">
      <alignment horizontal="left" vertical="center"/>
    </xf>
    <xf numFmtId="0" fontId="14" fillId="0" borderId="34" xfId="0" applyFont="1" applyBorder="1" applyAlignment="1" applyProtection="1">
      <alignment horizontal="right" vertical="center"/>
    </xf>
    <xf numFmtId="0" fontId="14" fillId="0" borderId="49" xfId="0" applyFont="1" applyBorder="1" applyAlignment="1" applyProtection="1">
      <alignment horizontal="right" vertical="center"/>
    </xf>
    <xf numFmtId="0" fontId="4" fillId="0" borderId="28" xfId="0" applyFont="1" applyBorder="1" applyAlignment="1" applyProtection="1">
      <alignment horizontal="left" wrapText="1"/>
    </xf>
    <xf numFmtId="0" fontId="10" fillId="0" borderId="0" xfId="0" applyFont="1" applyAlignment="1" applyProtection="1">
      <alignment horizontal="left" wrapText="1"/>
    </xf>
    <xf numFmtId="0" fontId="10" fillId="0" borderId="47" xfId="0" applyFont="1" applyBorder="1" applyAlignment="1" applyProtection="1">
      <alignment horizontal="left" vertical="center"/>
    </xf>
    <xf numFmtId="0" fontId="10" fillId="0" borderId="48" xfId="0" applyFont="1" applyBorder="1" applyAlignment="1" applyProtection="1">
      <alignment horizontal="left" vertical="center"/>
    </xf>
    <xf numFmtId="0" fontId="10" fillId="0" borderId="60" xfId="0" applyFont="1" applyBorder="1" applyAlignment="1" applyProtection="1">
      <alignment horizontal="left" vertical="center"/>
    </xf>
    <xf numFmtId="0" fontId="10" fillId="0" borderId="69" xfId="0" applyFont="1" applyBorder="1" applyAlignment="1" applyProtection="1">
      <alignment horizontal="left" vertical="center"/>
    </xf>
    <xf numFmtId="0" fontId="14" fillId="0" borderId="31" xfId="0" applyFont="1" applyBorder="1" applyAlignment="1" applyProtection="1">
      <alignment horizontal="left" vertical="center"/>
    </xf>
    <xf numFmtId="0" fontId="14" fillId="0" borderId="32" xfId="0" applyFont="1" applyBorder="1" applyAlignment="1" applyProtection="1">
      <alignment horizontal="left" vertical="center"/>
    </xf>
    <xf numFmtId="0" fontId="14" fillId="0" borderId="33" xfId="0" applyFont="1" applyBorder="1" applyAlignment="1" applyProtection="1">
      <alignment horizontal="left" vertical="center"/>
    </xf>
    <xf numFmtId="0" fontId="10" fillId="2" borderId="17" xfId="0" applyFont="1" applyFill="1" applyBorder="1" applyAlignment="1" applyProtection="1">
      <alignment horizontal="center"/>
    </xf>
    <xf numFmtId="0" fontId="10" fillId="2" borderId="48" xfId="0" applyFont="1" applyFill="1" applyBorder="1" applyAlignment="1" applyProtection="1">
      <alignment horizontal="center"/>
    </xf>
    <xf numFmtId="0" fontId="14" fillId="0" borderId="8" xfId="0" applyFont="1" applyBorder="1" applyAlignment="1" applyProtection="1">
      <alignment horizontal="left"/>
    </xf>
    <xf numFmtId="0" fontId="14" fillId="0" borderId="23" xfId="0" applyFont="1" applyBorder="1" applyAlignment="1" applyProtection="1">
      <alignment horizontal="left"/>
    </xf>
    <xf numFmtId="0" fontId="14" fillId="0" borderId="71" xfId="0" applyFont="1" applyBorder="1" applyAlignment="1" applyProtection="1">
      <alignment horizontal="left" vertical="center"/>
    </xf>
    <xf numFmtId="0" fontId="10" fillId="0" borderId="37" xfId="0" applyFont="1" applyBorder="1" applyAlignment="1" applyProtection="1">
      <alignment horizontal="left"/>
    </xf>
    <xf numFmtId="0" fontId="10" fillId="0" borderId="17" xfId="0" applyFont="1" applyBorder="1" applyAlignment="1" applyProtection="1">
      <alignment horizontal="left"/>
    </xf>
    <xf numFmtId="0" fontId="10" fillId="0" borderId="38" xfId="0" applyFont="1" applyBorder="1" applyAlignment="1" applyProtection="1">
      <alignment horizontal="left"/>
    </xf>
    <xf numFmtId="0" fontId="10" fillId="0" borderId="39" xfId="0" applyFont="1" applyBorder="1" applyAlignment="1" applyProtection="1">
      <alignment horizontal="left"/>
    </xf>
    <xf numFmtId="0" fontId="10" fillId="0" borderId="32" xfId="0" applyFont="1" applyBorder="1" applyAlignment="1" applyProtection="1">
      <alignment horizontal="left"/>
    </xf>
    <xf numFmtId="0" fontId="10" fillId="0" borderId="33" xfId="0" applyFont="1" applyBorder="1" applyAlignment="1" applyProtection="1">
      <alignment horizontal="left"/>
    </xf>
    <xf numFmtId="0" fontId="4" fillId="0" borderId="37" xfId="0" applyFont="1" applyBorder="1" applyAlignment="1" applyProtection="1">
      <alignment horizontal="left"/>
    </xf>
    <xf numFmtId="0" fontId="4" fillId="0" borderId="17" xfId="0" applyFont="1" applyBorder="1" applyAlignment="1" applyProtection="1">
      <alignment horizontal="left"/>
    </xf>
    <xf numFmtId="0" fontId="4" fillId="0" borderId="38" xfId="0" applyFont="1" applyBorder="1" applyAlignment="1" applyProtection="1">
      <alignment horizontal="left"/>
    </xf>
    <xf numFmtId="0" fontId="10" fillId="0" borderId="46" xfId="0" applyFont="1" applyBorder="1" applyAlignment="1" applyProtection="1">
      <alignment horizontal="left"/>
    </xf>
    <xf numFmtId="0" fontId="10" fillId="0" borderId="35" xfId="0" applyFont="1" applyBorder="1" applyAlignment="1" applyProtection="1">
      <alignment horizontal="left"/>
    </xf>
    <xf numFmtId="0" fontId="10" fillId="0" borderId="36" xfId="0" applyFont="1" applyBorder="1" applyAlignment="1" applyProtection="1">
      <alignment horizontal="left"/>
    </xf>
    <xf numFmtId="0" fontId="10" fillId="0" borderId="48" xfId="0" applyFont="1" applyBorder="1" applyAlignment="1" applyProtection="1">
      <alignment horizontal="center" vertical="center"/>
    </xf>
    <xf numFmtId="0" fontId="18" fillId="5" borderId="24" xfId="0" applyFont="1" applyFill="1" applyBorder="1" applyAlignment="1" applyProtection="1">
      <alignment horizontal="right" vertical="center"/>
    </xf>
    <xf numFmtId="0" fontId="18" fillId="5" borderId="25" xfId="0" applyFont="1" applyFill="1" applyBorder="1" applyAlignment="1" applyProtection="1">
      <alignment horizontal="right" vertical="center"/>
    </xf>
    <xf numFmtId="0" fontId="17" fillId="5" borderId="25" xfId="0" applyFont="1" applyFill="1" applyBorder="1" applyAlignment="1" applyProtection="1">
      <alignment horizontal="left"/>
    </xf>
    <xf numFmtId="0" fontId="17" fillId="5" borderId="57" xfId="0" applyFont="1" applyFill="1" applyBorder="1" applyAlignment="1" applyProtection="1">
      <alignment horizontal="left"/>
    </xf>
    <xf numFmtId="0" fontId="14" fillId="0" borderId="0" xfId="0" applyFont="1" applyAlignment="1" applyProtection="1">
      <alignment horizontal="left"/>
    </xf>
    <xf numFmtId="0" fontId="14" fillId="0" borderId="50" xfId="0" applyFont="1" applyBorder="1" applyAlignment="1" applyProtection="1">
      <alignment horizontal="left" vertical="center"/>
    </xf>
    <xf numFmtId="0" fontId="10" fillId="0" borderId="39" xfId="0" applyFont="1" applyBorder="1" applyAlignment="1" applyProtection="1">
      <alignment horizontal="left" vertical="center"/>
    </xf>
    <xf numFmtId="0" fontId="10" fillId="0" borderId="32" xfId="0" applyFont="1" applyBorder="1" applyAlignment="1" applyProtection="1">
      <alignment horizontal="left" vertical="center"/>
    </xf>
    <xf numFmtId="0" fontId="10" fillId="0" borderId="33" xfId="0" applyFont="1" applyBorder="1" applyAlignment="1" applyProtection="1">
      <alignment horizontal="left" vertical="center"/>
    </xf>
    <xf numFmtId="0" fontId="10" fillId="0" borderId="0" xfId="0" applyFont="1" applyFill="1" applyBorder="1" applyAlignment="1" applyProtection="1">
      <alignment horizontal="center" vertical="center" wrapText="1"/>
    </xf>
    <xf numFmtId="0" fontId="4" fillId="3" borderId="20" xfId="0" quotePrefix="1" applyFont="1" applyFill="1" applyBorder="1" applyAlignment="1" applyProtection="1">
      <alignment horizontal="center" vertical="center" wrapText="1"/>
    </xf>
    <xf numFmtId="0" fontId="10" fillId="3" borderId="20" xfId="0" applyFont="1" applyFill="1" applyBorder="1" applyAlignment="1" applyProtection="1">
      <alignment horizontal="center" vertical="center" wrapText="1"/>
    </xf>
    <xf numFmtId="0" fontId="10" fillId="3" borderId="39" xfId="0" applyFont="1" applyFill="1" applyBorder="1" applyAlignment="1" applyProtection="1">
      <alignment horizontal="center" vertical="center" wrapText="1"/>
    </xf>
    <xf numFmtId="0" fontId="10" fillId="2" borderId="37" xfId="0" applyFont="1" applyFill="1" applyBorder="1" applyAlignment="1" applyProtection="1">
      <alignment horizontal="center"/>
    </xf>
    <xf numFmtId="0" fontId="10" fillId="0" borderId="28" xfId="0" applyFont="1" applyBorder="1" applyAlignment="1" applyProtection="1">
      <alignment horizontal="left" wrapText="1"/>
    </xf>
    <xf numFmtId="0" fontId="10" fillId="3" borderId="20" xfId="0" quotePrefix="1" applyFont="1" applyFill="1" applyBorder="1" applyAlignment="1" applyProtection="1">
      <alignment horizontal="center" vertical="center" wrapText="1"/>
      <protection locked="0"/>
    </xf>
    <xf numFmtId="0" fontId="10" fillId="3" borderId="20" xfId="0" applyFont="1" applyFill="1" applyBorder="1" applyAlignment="1" applyProtection="1">
      <alignment horizontal="center" vertical="center" wrapText="1"/>
      <protection locked="0"/>
    </xf>
    <xf numFmtId="0" fontId="10" fillId="3" borderId="39" xfId="0" applyFont="1" applyFill="1" applyBorder="1" applyAlignment="1" applyProtection="1">
      <alignment horizontal="center" vertical="center" wrapText="1"/>
      <protection locked="0"/>
    </xf>
    <xf numFmtId="0" fontId="4" fillId="3" borderId="8" xfId="0" applyFont="1" applyFill="1" applyBorder="1" applyAlignment="1" applyProtection="1">
      <alignment horizontal="center"/>
      <protection locked="0"/>
    </xf>
    <xf numFmtId="0" fontId="10" fillId="3" borderId="8" xfId="0" applyFont="1" applyFill="1" applyBorder="1" applyAlignment="1" applyProtection="1">
      <alignment horizontal="center"/>
      <protection locked="0"/>
    </xf>
    <xf numFmtId="0" fontId="10" fillId="3" borderId="37" xfId="0" applyFont="1" applyFill="1" applyBorder="1" applyAlignment="1" applyProtection="1">
      <alignment horizontal="center"/>
      <protection locked="0"/>
    </xf>
    <xf numFmtId="49" fontId="4" fillId="3" borderId="8" xfId="0" quotePrefix="1" applyNumberFormat="1" applyFont="1" applyFill="1" applyBorder="1" applyAlignment="1" applyProtection="1">
      <alignment horizontal="center" vertical="center" wrapText="1"/>
      <protection locked="0"/>
    </xf>
    <xf numFmtId="49" fontId="10" fillId="3" borderId="8" xfId="0" applyNumberFormat="1" applyFont="1" applyFill="1" applyBorder="1" applyAlignment="1" applyProtection="1">
      <alignment horizontal="center" vertical="center" wrapText="1"/>
      <protection locked="0"/>
    </xf>
    <xf numFmtId="49" fontId="10" fillId="3" borderId="37" xfId="0" applyNumberFormat="1" applyFont="1" applyFill="1" applyBorder="1" applyAlignment="1" applyProtection="1">
      <alignment horizontal="center" vertical="center" wrapText="1"/>
      <protection locked="0"/>
    </xf>
    <xf numFmtId="0" fontId="10" fillId="0" borderId="31" xfId="0" applyFont="1" applyBorder="1" applyAlignment="1">
      <alignment horizontal="center" vertical="center" wrapText="1"/>
    </xf>
    <xf numFmtId="0" fontId="10" fillId="0" borderId="47" xfId="0" applyFont="1" applyBorder="1" applyAlignment="1">
      <alignment horizontal="center" vertical="center"/>
    </xf>
    <xf numFmtId="0" fontId="10" fillId="3" borderId="8" xfId="0" applyFont="1" applyFill="1" applyBorder="1" applyAlignment="1" applyProtection="1">
      <alignment horizontal="center" vertical="center" wrapText="1"/>
      <protection locked="0"/>
    </xf>
    <xf numFmtId="0" fontId="10" fillId="3" borderId="25" xfId="0" applyFont="1" applyFill="1" applyBorder="1" applyAlignment="1" applyProtection="1">
      <alignment horizontal="center" vertical="center" wrapText="1"/>
      <protection locked="0"/>
    </xf>
    <xf numFmtId="0" fontId="10" fillId="2" borderId="37" xfId="0" applyFont="1" applyFill="1" applyBorder="1" applyAlignment="1">
      <alignment horizontal="center"/>
    </xf>
    <xf numFmtId="0" fontId="10" fillId="2" borderId="48" xfId="0" applyFont="1" applyFill="1" applyBorder="1" applyAlignment="1">
      <alignment horizontal="center"/>
    </xf>
    <xf numFmtId="0" fontId="10" fillId="0" borderId="46" xfId="0" applyFont="1" applyBorder="1" applyAlignment="1">
      <alignment horizontal="left"/>
    </xf>
    <xf numFmtId="0" fontId="10" fillId="0" borderId="35" xfId="0" applyFont="1" applyBorder="1" applyAlignment="1">
      <alignment horizontal="left"/>
    </xf>
    <xf numFmtId="0" fontId="10" fillId="0" borderId="36" xfId="0" applyFont="1" applyBorder="1" applyAlignment="1">
      <alignment horizontal="left"/>
    </xf>
    <xf numFmtId="0" fontId="10" fillId="0" borderId="28" xfId="0" applyFont="1" applyBorder="1" applyAlignment="1">
      <alignment horizontal="left" wrapText="1"/>
    </xf>
    <xf numFmtId="0" fontId="10" fillId="0" borderId="0" xfId="0" applyFont="1" applyAlignment="1">
      <alignment horizontal="left" wrapText="1"/>
    </xf>
    <xf numFmtId="0" fontId="14" fillId="0" borderId="8" xfId="0" applyFont="1" applyBorder="1" applyAlignment="1">
      <alignment horizontal="left"/>
    </xf>
    <xf numFmtId="0" fontId="14" fillId="0" borderId="23" xfId="0" applyFont="1" applyBorder="1" applyAlignment="1">
      <alignment horizontal="left"/>
    </xf>
  </cellXfs>
  <cellStyles count="5">
    <cellStyle name="Hyperlink" xfId="1" builtinId="8"/>
    <cellStyle name="Normal" xfId="0" builtinId="0"/>
    <cellStyle name="Normal_air91co24" xfId="2"/>
    <cellStyle name="Normal_CIPM Air Density" xfId="3"/>
    <cellStyle name="Normal_kragten2298" xfId="4"/>
  </cellStyles>
  <dxfs count="4">
    <dxf>
      <font>
        <color theme="6" tint="-0.499984740745262"/>
      </font>
      <fill>
        <patternFill>
          <bgColor theme="6" tint="0.39994506668294322"/>
        </patternFill>
      </fill>
    </dxf>
    <dxf>
      <font>
        <color theme="6" tint="-0.499984740745262"/>
      </font>
      <fill>
        <patternFill>
          <bgColor theme="6" tint="0.39994506668294322"/>
        </patternFill>
      </fill>
    </dxf>
    <dxf>
      <font>
        <color theme="6" tint="-0.499984740745262"/>
      </font>
      <fill>
        <patternFill>
          <bgColor theme="6" tint="0.39994506668294322"/>
        </patternFill>
      </fill>
    </dxf>
    <dxf>
      <font>
        <color theme="6" tint="-0.499984740745262"/>
      </font>
      <fill>
        <patternFill>
          <bgColor theme="6" tint="0.39994506668294322"/>
        </patternFill>
      </fill>
    </dxf>
  </dxfs>
  <tableStyles count="0" defaultTableStyle="TableStyleMedium2" defaultPivotStyle="PivotStyleLight16"/>
  <colors>
    <mruColors>
      <color rgb="FFFFFFC9"/>
      <color rgb="FFC0E3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a:lstStyle/>
          <a:p>
            <a:pPr>
              <a:defRPr sz="1200" b="1" i="0" u="none" strike="noStrike" baseline="0">
                <a:solidFill>
                  <a:srgbClr val="000000"/>
                </a:solidFill>
                <a:latin typeface="Arial"/>
                <a:ea typeface="Arial"/>
                <a:cs typeface="Arial"/>
              </a:defRPr>
            </a:pPr>
            <a:r>
              <a:rPr lang="en-US"/>
              <a:t>Water Density Formula Comparison</a:t>
            </a:r>
          </a:p>
        </c:rich>
      </c:tx>
      <c:layout>
        <c:manualLayout>
          <c:xMode val="edge"/>
          <c:yMode val="edge"/>
          <c:x val="0.3462819089900111"/>
          <c:y val="1.9575856443719411E-2"/>
        </c:manualLayout>
      </c:layout>
      <c:overlay val="0"/>
      <c:spPr>
        <a:noFill/>
        <a:ln w="25400">
          <a:noFill/>
        </a:ln>
      </c:spPr>
    </c:title>
    <c:autoTitleDeleted val="0"/>
    <c:plotArea>
      <c:layout>
        <c:manualLayout>
          <c:layoutTarget val="inner"/>
          <c:xMode val="edge"/>
          <c:yMode val="edge"/>
          <c:x val="0.10876803551609324"/>
          <c:y val="0.12398042414355628"/>
          <c:w val="0.78246392896781358"/>
          <c:h val="0.73083197389885812"/>
        </c:manualLayout>
      </c:layout>
      <c:scatterChart>
        <c:scatterStyle val="lineMarker"/>
        <c:varyColors val="0"/>
        <c:ser>
          <c:idx val="0"/>
          <c:order val="0"/>
          <c:tx>
            <c:v>Patterson/Morris</c:v>
          </c:tx>
          <c:spPr>
            <a:ln w="28575">
              <a:noFill/>
            </a:ln>
          </c:spPr>
          <c:marker>
            <c:symbol val="triangle"/>
            <c:size val="6"/>
            <c:spPr>
              <a:solidFill>
                <a:srgbClr val="000080"/>
              </a:solidFill>
              <a:ln>
                <a:solidFill>
                  <a:srgbClr val="000080"/>
                </a:solidFill>
                <a:prstDash val="solid"/>
              </a:ln>
            </c:spPr>
          </c:marker>
          <c:xVal>
            <c:numRef>
              <c:f>'Water Density'!$A$6:$A$41</c:f>
              <c:numCache>
                <c:formatCode>General</c:formatCode>
                <c:ptCount val="36"/>
                <c:pt idx="0">
                  <c:v>5</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pt idx="17">
                  <c:v>22</c:v>
                </c:pt>
                <c:pt idx="18">
                  <c:v>23</c:v>
                </c:pt>
                <c:pt idx="19">
                  <c:v>24</c:v>
                </c:pt>
                <c:pt idx="20">
                  <c:v>25</c:v>
                </c:pt>
                <c:pt idx="21">
                  <c:v>26</c:v>
                </c:pt>
                <c:pt idx="22">
                  <c:v>27</c:v>
                </c:pt>
                <c:pt idx="23">
                  <c:v>28</c:v>
                </c:pt>
                <c:pt idx="24">
                  <c:v>29</c:v>
                </c:pt>
                <c:pt idx="25">
                  <c:v>30</c:v>
                </c:pt>
                <c:pt idx="26">
                  <c:v>31</c:v>
                </c:pt>
                <c:pt idx="27">
                  <c:v>32</c:v>
                </c:pt>
                <c:pt idx="28">
                  <c:v>33</c:v>
                </c:pt>
                <c:pt idx="29">
                  <c:v>34</c:v>
                </c:pt>
                <c:pt idx="30">
                  <c:v>35</c:v>
                </c:pt>
                <c:pt idx="31">
                  <c:v>36</c:v>
                </c:pt>
                <c:pt idx="32">
                  <c:v>37</c:v>
                </c:pt>
                <c:pt idx="33">
                  <c:v>38</c:v>
                </c:pt>
                <c:pt idx="34">
                  <c:v>39</c:v>
                </c:pt>
                <c:pt idx="35">
                  <c:v>40</c:v>
                </c:pt>
              </c:numCache>
            </c:numRef>
          </c:xVal>
          <c:yVal>
            <c:numRef>
              <c:f>'Water Density'!$B$6:$B$41</c:f>
              <c:numCache>
                <c:formatCode>0.000000</c:formatCode>
                <c:ptCount val="36"/>
                <c:pt idx="0">
                  <c:v>0.99996537033869526</c:v>
                </c:pt>
                <c:pt idx="1">
                  <c:v>0.99994176434026305</c:v>
                </c:pt>
                <c:pt idx="2">
                  <c:v>0.99990318653073873</c:v>
                </c:pt>
                <c:pt idx="3">
                  <c:v>0.99985004865331195</c:v>
                </c:pt>
                <c:pt idx="4">
                  <c:v>0.99978274619843577</c:v>
                </c:pt>
                <c:pt idx="5">
                  <c:v>0.99970165883539031</c:v>
                </c:pt>
                <c:pt idx="6">
                  <c:v>0.99960715084384555</c:v>
                </c:pt>
                <c:pt idx="7">
                  <c:v>0.99949957154542635</c:v>
                </c:pt>
                <c:pt idx="8">
                  <c:v>0.9993792557352742</c:v>
                </c:pt>
                <c:pt idx="9">
                  <c:v>0.99924652411361248</c:v>
                </c:pt>
                <c:pt idx="10">
                  <c:v>0.99910168371730923</c:v>
                </c:pt>
                <c:pt idx="11">
                  <c:v>0.99894502835144017</c:v>
                </c:pt>
                <c:pt idx="12">
                  <c:v>0.99877683902085335</c:v>
                </c:pt>
                <c:pt idx="13">
                  <c:v>0.99859738436173207</c:v>
                </c:pt>
                <c:pt idx="14">
                  <c:v>0.99840692107315865</c:v>
                </c:pt>
                <c:pt idx="15">
                  <c:v>0.99820569434867756</c:v>
                </c:pt>
                <c:pt idx="16">
                  <c:v>0.99799393830785954</c:v>
                </c:pt>
                <c:pt idx="17">
                  <c:v>0.99777187642786525</c:v>
                </c:pt>
                <c:pt idx="18">
                  <c:v>0.99753972197500773</c:v>
                </c:pt>
                <c:pt idx="19">
                  <c:v>0.99729767843631756</c:v>
                </c:pt>
                <c:pt idx="20">
                  <c:v>0.99704593995110524</c:v>
                </c:pt>
                <c:pt idx="21">
                  <c:v>0.99678469174252482</c:v>
                </c:pt>
                <c:pt idx="22">
                  <c:v>0.9965141105491383</c:v>
                </c:pt>
                <c:pt idx="23">
                  <c:v>0.99623436505647844</c:v>
                </c:pt>
                <c:pt idx="24">
                  <c:v>0.995945616328612</c:v>
                </c:pt>
                <c:pt idx="25">
                  <c:v>0.99564801823970484</c:v>
                </c:pt>
                <c:pt idx="26">
                  <c:v>0.99534171790558335</c:v>
                </c:pt>
                <c:pt idx="27">
                  <c:v>0.99502685611529962</c:v>
                </c:pt>
                <c:pt idx="28">
                  <c:v>0.99470356776269475</c:v>
                </c:pt>
                <c:pt idx="29">
                  <c:v>0.99437198227796175</c:v>
                </c:pt>
                <c:pt idx="30">
                  <c:v>0.99403222405920943</c:v>
                </c:pt>
                <c:pt idx="31">
                  <c:v>0.99368441290402632</c:v>
                </c:pt>
                <c:pt idx="32">
                  <c:v>0.99332866444104362</c:v>
                </c:pt>
                <c:pt idx="33">
                  <c:v>0.9929650905614994</c:v>
                </c:pt>
                <c:pt idx="34">
                  <c:v>0.99259379985080143</c:v>
                </c:pt>
                <c:pt idx="35">
                  <c:v>0.99221489802009144</c:v>
                </c:pt>
              </c:numCache>
            </c:numRef>
          </c:yVal>
          <c:smooth val="0"/>
        </c:ser>
        <c:ser>
          <c:idx val="1"/>
          <c:order val="1"/>
          <c:tx>
            <c:v>Jones/Harris</c:v>
          </c:tx>
          <c:spPr>
            <a:ln w="3175">
              <a:solidFill>
                <a:srgbClr val="FF00FF"/>
              </a:solidFill>
              <a:prstDash val="solid"/>
            </a:ln>
          </c:spPr>
          <c:marker>
            <c:symbol val="triangle"/>
            <c:size val="3"/>
            <c:spPr>
              <a:solidFill>
                <a:srgbClr val="FF00FF"/>
              </a:solidFill>
              <a:ln>
                <a:solidFill>
                  <a:srgbClr val="FF00FF"/>
                </a:solidFill>
                <a:prstDash val="solid"/>
              </a:ln>
            </c:spPr>
          </c:marker>
          <c:xVal>
            <c:numRef>
              <c:f>'Water Density'!$A$6:$A$41</c:f>
              <c:numCache>
                <c:formatCode>General</c:formatCode>
                <c:ptCount val="36"/>
                <c:pt idx="0">
                  <c:v>5</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pt idx="17">
                  <c:v>22</c:v>
                </c:pt>
                <c:pt idx="18">
                  <c:v>23</c:v>
                </c:pt>
                <c:pt idx="19">
                  <c:v>24</c:v>
                </c:pt>
                <c:pt idx="20">
                  <c:v>25</c:v>
                </c:pt>
                <c:pt idx="21">
                  <c:v>26</c:v>
                </c:pt>
                <c:pt idx="22">
                  <c:v>27</c:v>
                </c:pt>
                <c:pt idx="23">
                  <c:v>28</c:v>
                </c:pt>
                <c:pt idx="24">
                  <c:v>29</c:v>
                </c:pt>
                <c:pt idx="25">
                  <c:v>30</c:v>
                </c:pt>
                <c:pt idx="26">
                  <c:v>31</c:v>
                </c:pt>
                <c:pt idx="27">
                  <c:v>32</c:v>
                </c:pt>
                <c:pt idx="28">
                  <c:v>33</c:v>
                </c:pt>
                <c:pt idx="29">
                  <c:v>34</c:v>
                </c:pt>
                <c:pt idx="30">
                  <c:v>35</c:v>
                </c:pt>
                <c:pt idx="31">
                  <c:v>36</c:v>
                </c:pt>
                <c:pt idx="32">
                  <c:v>37</c:v>
                </c:pt>
                <c:pt idx="33">
                  <c:v>38</c:v>
                </c:pt>
                <c:pt idx="34">
                  <c:v>39</c:v>
                </c:pt>
                <c:pt idx="35">
                  <c:v>40</c:v>
                </c:pt>
              </c:numCache>
            </c:numRef>
          </c:xVal>
          <c:yVal>
            <c:numRef>
              <c:f>'Water Density'!$D$6:$D$41</c:f>
              <c:numCache>
                <c:formatCode>General</c:formatCode>
                <c:ptCount val="36"/>
                <c:pt idx="0">
                  <c:v>0.99996099999999999</c:v>
                </c:pt>
                <c:pt idx="1">
                  <c:v>0.99993600000000005</c:v>
                </c:pt>
                <c:pt idx="2">
                  <c:v>0.99989700000000004</c:v>
                </c:pt>
                <c:pt idx="3">
                  <c:v>0.99984399999999996</c:v>
                </c:pt>
                <c:pt idx="4">
                  <c:v>0.99977700000000003</c:v>
                </c:pt>
                <c:pt idx="5">
                  <c:v>0.999695</c:v>
                </c:pt>
                <c:pt idx="6">
                  <c:v>0.99960099999999996</c:v>
                </c:pt>
                <c:pt idx="7">
                  <c:v>0.99949399999999999</c:v>
                </c:pt>
                <c:pt idx="8">
                  <c:v>0.99937299999999996</c:v>
                </c:pt>
                <c:pt idx="9">
                  <c:v>0.99924100000000005</c:v>
                </c:pt>
                <c:pt idx="10">
                  <c:v>0.99909599999999998</c:v>
                </c:pt>
                <c:pt idx="11">
                  <c:v>0.99894000000000005</c:v>
                </c:pt>
                <c:pt idx="12">
                  <c:v>0.99877199999999999</c:v>
                </c:pt>
                <c:pt idx="13">
                  <c:v>0.99859200000000004</c:v>
                </c:pt>
                <c:pt idx="14">
                  <c:v>0.99840200000000001</c:v>
                </c:pt>
                <c:pt idx="15">
                  <c:v>0.998201</c:v>
                </c:pt>
                <c:pt idx="16">
                  <c:v>0.99798900000000001</c:v>
                </c:pt>
                <c:pt idx="17">
                  <c:v>0.99776699999999996</c:v>
                </c:pt>
                <c:pt idx="18">
                  <c:v>0.99753499999999995</c:v>
                </c:pt>
                <c:pt idx="19">
                  <c:v>0.99729299999999999</c:v>
                </c:pt>
                <c:pt idx="20">
                  <c:v>0.99704099999999996</c:v>
                </c:pt>
                <c:pt idx="21">
                  <c:v>0.99678</c:v>
                </c:pt>
                <c:pt idx="22">
                  <c:v>0.99650899999999998</c:v>
                </c:pt>
                <c:pt idx="23">
                  <c:v>0.99622999999999995</c:v>
                </c:pt>
                <c:pt idx="24">
                  <c:v>0.99594099999999997</c:v>
                </c:pt>
                <c:pt idx="25">
                  <c:v>0.99564299999999994</c:v>
                </c:pt>
                <c:pt idx="26">
                  <c:v>0.99533700000000003</c:v>
                </c:pt>
                <c:pt idx="27">
                  <c:v>0.99502299999999999</c:v>
                </c:pt>
                <c:pt idx="28">
                  <c:v>0.994699</c:v>
                </c:pt>
                <c:pt idx="29">
                  <c:v>0.99436800000000003</c:v>
                </c:pt>
                <c:pt idx="30">
                  <c:v>0.99402800000000002</c:v>
                </c:pt>
                <c:pt idx="31">
                  <c:v>0.99368100000000004</c:v>
                </c:pt>
                <c:pt idx="32">
                  <c:v>0.99332500000000001</c:v>
                </c:pt>
                <c:pt idx="33">
                  <c:v>0.99296099999999998</c:v>
                </c:pt>
                <c:pt idx="34">
                  <c:v>0.99258999999999997</c:v>
                </c:pt>
                <c:pt idx="35">
                  <c:v>0.99221099999999995</c:v>
                </c:pt>
              </c:numCache>
            </c:numRef>
          </c:yVal>
          <c:smooth val="0"/>
        </c:ser>
        <c:dLbls>
          <c:showLegendKey val="0"/>
          <c:showVal val="0"/>
          <c:showCatName val="0"/>
          <c:showSerName val="0"/>
          <c:showPercent val="0"/>
          <c:showBubbleSize val="0"/>
        </c:dLbls>
        <c:axId val="192458112"/>
        <c:axId val="193589632"/>
      </c:scatterChart>
      <c:scatterChart>
        <c:scatterStyle val="lineMarker"/>
        <c:varyColors val="0"/>
        <c:ser>
          <c:idx val="2"/>
          <c:order val="2"/>
          <c:tx>
            <c:v>Difference (ppm)</c:v>
          </c:tx>
          <c:spPr>
            <a:ln w="28575">
              <a:noFill/>
            </a:ln>
          </c:spPr>
          <c:marker>
            <c:symbol val="triangle"/>
            <c:size val="7"/>
            <c:spPr>
              <a:solidFill>
                <a:srgbClr val="FF0000"/>
              </a:solidFill>
              <a:ln>
                <a:solidFill>
                  <a:srgbClr val="FF0000"/>
                </a:solidFill>
                <a:prstDash val="solid"/>
              </a:ln>
            </c:spPr>
          </c:marker>
          <c:trendline>
            <c:spPr>
              <a:ln w="25400">
                <a:solidFill>
                  <a:srgbClr val="000000"/>
                </a:solidFill>
                <a:prstDash val="solid"/>
              </a:ln>
            </c:spPr>
            <c:trendlineType val="linear"/>
            <c:dispRSqr val="0"/>
            <c:dispEq val="0"/>
          </c:trendline>
          <c:xVal>
            <c:numRef>
              <c:f>'Water Density'!$A$6:$A$41</c:f>
              <c:numCache>
                <c:formatCode>General</c:formatCode>
                <c:ptCount val="36"/>
                <c:pt idx="0">
                  <c:v>5</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pt idx="17">
                  <c:v>22</c:v>
                </c:pt>
                <c:pt idx="18">
                  <c:v>23</c:v>
                </c:pt>
                <c:pt idx="19">
                  <c:v>24</c:v>
                </c:pt>
                <c:pt idx="20">
                  <c:v>25</c:v>
                </c:pt>
                <c:pt idx="21">
                  <c:v>26</c:v>
                </c:pt>
                <c:pt idx="22">
                  <c:v>27</c:v>
                </c:pt>
                <c:pt idx="23">
                  <c:v>28</c:v>
                </c:pt>
                <c:pt idx="24">
                  <c:v>29</c:v>
                </c:pt>
                <c:pt idx="25">
                  <c:v>30</c:v>
                </c:pt>
                <c:pt idx="26">
                  <c:v>31</c:v>
                </c:pt>
                <c:pt idx="27">
                  <c:v>32</c:v>
                </c:pt>
                <c:pt idx="28">
                  <c:v>33</c:v>
                </c:pt>
                <c:pt idx="29">
                  <c:v>34</c:v>
                </c:pt>
                <c:pt idx="30">
                  <c:v>35</c:v>
                </c:pt>
                <c:pt idx="31">
                  <c:v>36</c:v>
                </c:pt>
                <c:pt idx="32">
                  <c:v>37</c:v>
                </c:pt>
                <c:pt idx="33">
                  <c:v>38</c:v>
                </c:pt>
                <c:pt idx="34">
                  <c:v>39</c:v>
                </c:pt>
                <c:pt idx="35">
                  <c:v>40</c:v>
                </c:pt>
              </c:numCache>
            </c:numRef>
          </c:xVal>
          <c:yVal>
            <c:numRef>
              <c:f>'Water Density'!$G$6:$G$41</c:f>
              <c:numCache>
                <c:formatCode>0.000000</c:formatCode>
                <c:ptCount val="36"/>
                <c:pt idx="0">
                  <c:v>4.3703386952698153</c:v>
                </c:pt>
                <c:pt idx="1">
                  <c:v>5.7643402630036533</c:v>
                </c:pt>
                <c:pt idx="2">
                  <c:v>6.1865307386943513</c:v>
                </c:pt>
                <c:pt idx="3">
                  <c:v>6.0486533119963326</c:v>
                </c:pt>
                <c:pt idx="4">
                  <c:v>5.746198435740979</c:v>
                </c:pt>
                <c:pt idx="5">
                  <c:v>6.6588353903052067</c:v>
                </c:pt>
                <c:pt idx="6">
                  <c:v>6.1508438455870618</c:v>
                </c:pt>
                <c:pt idx="7">
                  <c:v>5.571545426352742</c:v>
                </c:pt>
                <c:pt idx="8">
                  <c:v>6.2557352742409478</c:v>
                </c:pt>
                <c:pt idx="9">
                  <c:v>5.5241136124317691</c:v>
                </c:pt>
                <c:pt idx="10">
                  <c:v>5.6837173092461057</c:v>
                </c:pt>
                <c:pt idx="11">
                  <c:v>5.0283514401172624</c:v>
                </c:pt>
                <c:pt idx="12">
                  <c:v>4.8390208533533041</c:v>
                </c:pt>
                <c:pt idx="13">
                  <c:v>5.3843617320303849</c:v>
                </c:pt>
                <c:pt idx="14">
                  <c:v>4.9210731586368794</c:v>
                </c:pt>
                <c:pt idx="15">
                  <c:v>4.6943486775585797</c:v>
                </c:pt>
                <c:pt idx="16">
                  <c:v>4.938307859525537</c:v>
                </c:pt>
                <c:pt idx="17">
                  <c:v>4.8764278652857485</c:v>
                </c:pt>
                <c:pt idx="18">
                  <c:v>4.7219750077820422</c:v>
                </c:pt>
                <c:pt idx="19">
                  <c:v>4.6784363175733645</c:v>
                </c:pt>
                <c:pt idx="20">
                  <c:v>4.9399511052872214</c:v>
                </c:pt>
                <c:pt idx="21">
                  <c:v>4.6917425248205191</c:v>
                </c:pt>
                <c:pt idx="22">
                  <c:v>5.1105491383207635</c:v>
                </c:pt>
                <c:pt idx="23">
                  <c:v>4.3650564784947221</c:v>
                </c:pt>
                <c:pt idx="24">
                  <c:v>4.616328612039311</c:v>
                </c:pt>
                <c:pt idx="25">
                  <c:v>5.0182397048903482</c:v>
                </c:pt>
                <c:pt idx="26">
                  <c:v>4.7179055833179717</c:v>
                </c:pt>
                <c:pt idx="27">
                  <c:v>3.8561152996274828</c:v>
                </c:pt>
                <c:pt idx="28">
                  <c:v>4.5677626947515648</c:v>
                </c:pt>
                <c:pt idx="29">
                  <c:v>3.98227796172268</c:v>
                </c:pt>
                <c:pt idx="30">
                  <c:v>4.2240592094122675</c:v>
                </c:pt>
                <c:pt idx="31">
                  <c:v>3.4129040262786958</c:v>
                </c:pt>
                <c:pt idx="32">
                  <c:v>3.6644410436048602</c:v>
                </c:pt>
                <c:pt idx="33">
                  <c:v>4.0905614994146688</c:v>
                </c:pt>
                <c:pt idx="34">
                  <c:v>3.7998508014558396</c:v>
                </c:pt>
                <c:pt idx="35">
                  <c:v>3.8980200914862095</c:v>
                </c:pt>
              </c:numCache>
            </c:numRef>
          </c:yVal>
          <c:smooth val="0"/>
        </c:ser>
        <c:dLbls>
          <c:showLegendKey val="0"/>
          <c:showVal val="0"/>
          <c:showCatName val="0"/>
          <c:showSerName val="0"/>
          <c:showPercent val="0"/>
          <c:showBubbleSize val="0"/>
        </c:dLbls>
        <c:axId val="193591552"/>
        <c:axId val="195469696"/>
      </c:scatterChart>
      <c:valAx>
        <c:axId val="192458112"/>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US"/>
                  <a:t>Temperature</a:t>
                </a:r>
              </a:p>
            </c:rich>
          </c:tx>
          <c:layout>
            <c:manualLayout>
              <c:xMode val="edge"/>
              <c:yMode val="edge"/>
              <c:x val="0.45172031076581576"/>
              <c:y val="0.9053833605220228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93589632"/>
        <c:crosses val="autoZero"/>
        <c:crossBetween val="midCat"/>
      </c:valAx>
      <c:valAx>
        <c:axId val="193589632"/>
        <c:scaling>
          <c:orientation val="minMax"/>
        </c:scaling>
        <c:delete val="0"/>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en-US"/>
                  <a:t>Water Density (g/cm3)</a:t>
                </a:r>
              </a:p>
            </c:rich>
          </c:tx>
          <c:layout>
            <c:manualLayout>
              <c:xMode val="edge"/>
              <c:yMode val="edge"/>
              <c:x val="1.1098779134295227E-2"/>
              <c:y val="0.37194127243066882"/>
            </c:manualLayout>
          </c:layout>
          <c:overlay val="0"/>
          <c:spPr>
            <a:noFill/>
            <a:ln w="25400">
              <a:noFill/>
            </a:ln>
          </c:spPr>
        </c:title>
        <c:numFmt formatCode="0.000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92458112"/>
        <c:crosses val="autoZero"/>
        <c:crossBetween val="midCat"/>
      </c:valAx>
      <c:valAx>
        <c:axId val="193591552"/>
        <c:scaling>
          <c:orientation val="minMax"/>
        </c:scaling>
        <c:delete val="1"/>
        <c:axPos val="b"/>
        <c:numFmt formatCode="General" sourceLinked="1"/>
        <c:majorTickMark val="out"/>
        <c:minorTickMark val="none"/>
        <c:tickLblPos val="nextTo"/>
        <c:crossAx val="195469696"/>
        <c:crosses val="autoZero"/>
        <c:crossBetween val="midCat"/>
      </c:valAx>
      <c:valAx>
        <c:axId val="195469696"/>
        <c:scaling>
          <c:orientation val="minMax"/>
        </c:scaling>
        <c:delete val="0"/>
        <c:axPos val="r"/>
        <c:title>
          <c:tx>
            <c:rich>
              <a:bodyPr/>
              <a:lstStyle/>
              <a:p>
                <a:pPr>
                  <a:defRPr sz="1000" b="1" i="0" u="none" strike="noStrike" baseline="0">
                    <a:solidFill>
                      <a:srgbClr val="000000"/>
                    </a:solidFill>
                    <a:latin typeface="Arial"/>
                    <a:ea typeface="Arial"/>
                    <a:cs typeface="Arial"/>
                  </a:defRPr>
                </a:pPr>
                <a:r>
                  <a:rPr lang="en-US"/>
                  <a:t>Difference (ppm)</a:t>
                </a:r>
              </a:p>
            </c:rich>
          </c:tx>
          <c:layout>
            <c:manualLayout>
              <c:xMode val="edge"/>
              <c:yMode val="edge"/>
              <c:x val="0.96337402885682577"/>
              <c:y val="0.39967373572593801"/>
            </c:manualLayout>
          </c:layout>
          <c:overlay val="0"/>
          <c:spPr>
            <a:noFill/>
            <a:ln w="25400">
              <a:noFill/>
            </a:ln>
          </c:spPr>
        </c:title>
        <c:numFmt formatCode="0.00000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93591552"/>
        <c:crosses val="max"/>
        <c:crossBetween val="midCat"/>
      </c:valAx>
      <c:spPr>
        <a:solidFill>
          <a:srgbClr val="FFFFFF"/>
        </a:solidFill>
        <a:ln w="12700">
          <a:solidFill>
            <a:srgbClr val="808080"/>
          </a:solidFill>
          <a:prstDash val="solid"/>
        </a:ln>
      </c:spPr>
    </c:plotArea>
    <c:legend>
      <c:legendPos val="b"/>
      <c:layout>
        <c:manualLayout>
          <c:xMode val="edge"/>
          <c:yMode val="edge"/>
          <c:x val="0.1997780244173141"/>
          <c:y val="0.95758564437194127"/>
          <c:w val="0.59933407325194232"/>
          <c:h val="3.9151712887438822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6.xml"/></Relationships>
</file>

<file path=xl/chartsheets/sheet1.xml><?xml version="1.0" encoding="utf-8"?>
<chartsheet xmlns="http://schemas.openxmlformats.org/spreadsheetml/2006/main" xmlns:r="http://schemas.openxmlformats.org/officeDocument/2006/relationships">
  <sheetPr/>
  <sheetViews>
    <sheetView zoomScale="84" workbookViewId="0"/>
  </sheetViews>
  <sheetProtection password="FFED" content="1" objects="1"/>
  <pageMargins left="0.75" right="0.75" top="1" bottom="1" header="0.5" footer="0.5"/>
  <headerFooter alignWithMargins="0"/>
  <drawing r:id="rId1"/>
</chartsheet>
</file>

<file path=xl/drawings/_rels/drawing5.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4.emf"/><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3.emf"/><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3.emf"/><Relationship Id="rId1" Type="http://schemas.openxmlformats.org/officeDocument/2006/relationships/image" Target="../media/image1.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76200</xdr:colOff>
          <xdr:row>53</xdr:row>
          <xdr:rowOff>0</xdr:rowOff>
        </xdr:from>
        <xdr:to>
          <xdr:col>7</xdr:col>
          <xdr:colOff>1219200</xdr:colOff>
          <xdr:row>54</xdr:row>
          <xdr:rowOff>85725</xdr:rowOff>
        </xdr:to>
        <xdr:sp macro="" textlink="">
          <xdr:nvSpPr>
            <xdr:cNvPr id="18433" name="Object 1" hidden="1">
              <a:extLst>
                <a:ext uri="{63B3BB69-23CF-44E3-9099-C40C66FF867C}">
                  <a14:compatExt spid="_x0000_s184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95250</xdr:colOff>
          <xdr:row>48</xdr:row>
          <xdr:rowOff>180975</xdr:rowOff>
        </xdr:from>
        <xdr:to>
          <xdr:col>8</xdr:col>
          <xdr:colOff>38100</xdr:colOff>
          <xdr:row>52</xdr:row>
          <xdr:rowOff>0</xdr:rowOff>
        </xdr:to>
        <xdr:sp macro="" textlink="">
          <xdr:nvSpPr>
            <xdr:cNvPr id="18434" name="Object 2" hidden="1">
              <a:extLst>
                <a:ext uri="{63B3BB69-23CF-44E3-9099-C40C66FF867C}">
                  <a14:compatExt spid="_x0000_s184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95250</xdr:colOff>
          <xdr:row>46</xdr:row>
          <xdr:rowOff>9525</xdr:rowOff>
        </xdr:from>
        <xdr:to>
          <xdr:col>7</xdr:col>
          <xdr:colOff>666750</xdr:colOff>
          <xdr:row>47</xdr:row>
          <xdr:rowOff>123825</xdr:rowOff>
        </xdr:to>
        <xdr:sp macro="" textlink="">
          <xdr:nvSpPr>
            <xdr:cNvPr id="18435" name="Object 3" hidden="1">
              <a:extLst>
                <a:ext uri="{63B3BB69-23CF-44E3-9099-C40C66FF867C}">
                  <a14:compatExt spid="_x0000_s18435"/>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123825</xdr:colOff>
          <xdr:row>53</xdr:row>
          <xdr:rowOff>152400</xdr:rowOff>
        </xdr:from>
        <xdr:to>
          <xdr:col>7</xdr:col>
          <xdr:colOff>1266825</xdr:colOff>
          <xdr:row>55</xdr:row>
          <xdr:rowOff>47625</xdr:rowOff>
        </xdr:to>
        <xdr:sp macro="" textlink="">
          <xdr:nvSpPr>
            <xdr:cNvPr id="33798" name="Object 6" hidden="1">
              <a:extLst>
                <a:ext uri="{63B3BB69-23CF-44E3-9099-C40C66FF867C}">
                  <a14:compatExt spid="_x0000_s337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95250</xdr:colOff>
          <xdr:row>49</xdr:row>
          <xdr:rowOff>152400</xdr:rowOff>
        </xdr:from>
        <xdr:to>
          <xdr:col>7</xdr:col>
          <xdr:colOff>1276350</xdr:colOff>
          <xdr:row>53</xdr:row>
          <xdr:rowOff>142875</xdr:rowOff>
        </xdr:to>
        <xdr:sp macro="" textlink="">
          <xdr:nvSpPr>
            <xdr:cNvPr id="33799" name="Object 7" hidden="1">
              <a:extLst>
                <a:ext uri="{63B3BB69-23CF-44E3-9099-C40C66FF867C}">
                  <a14:compatExt spid="_x0000_s337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47625</xdr:colOff>
          <xdr:row>46</xdr:row>
          <xdr:rowOff>9525</xdr:rowOff>
        </xdr:from>
        <xdr:to>
          <xdr:col>7</xdr:col>
          <xdr:colOff>619125</xdr:colOff>
          <xdr:row>47</xdr:row>
          <xdr:rowOff>123825</xdr:rowOff>
        </xdr:to>
        <xdr:sp macro="" textlink="">
          <xdr:nvSpPr>
            <xdr:cNvPr id="33800" name="Object 8" hidden="1">
              <a:extLst>
                <a:ext uri="{63B3BB69-23CF-44E3-9099-C40C66FF867C}">
                  <a14:compatExt spid="_x0000_s33800"/>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142875</xdr:colOff>
          <xdr:row>52</xdr:row>
          <xdr:rowOff>38100</xdr:rowOff>
        </xdr:from>
        <xdr:to>
          <xdr:col>7</xdr:col>
          <xdr:colOff>1285875</xdr:colOff>
          <xdr:row>53</xdr:row>
          <xdr:rowOff>142875</xdr:rowOff>
        </xdr:to>
        <xdr:sp macro="" textlink="">
          <xdr:nvSpPr>
            <xdr:cNvPr id="34822" name="Object 6" hidden="1">
              <a:extLst>
                <a:ext uri="{63B3BB69-23CF-44E3-9099-C40C66FF867C}">
                  <a14:compatExt spid="_x0000_s348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85725</xdr:colOff>
          <xdr:row>45</xdr:row>
          <xdr:rowOff>114300</xdr:rowOff>
        </xdr:from>
        <xdr:to>
          <xdr:col>7</xdr:col>
          <xdr:colOff>657225</xdr:colOff>
          <xdr:row>47</xdr:row>
          <xdr:rowOff>66675</xdr:rowOff>
        </xdr:to>
        <xdr:sp macro="" textlink="">
          <xdr:nvSpPr>
            <xdr:cNvPr id="34824" name="Object 8" hidden="1">
              <a:extLst>
                <a:ext uri="{63B3BB69-23CF-44E3-9099-C40C66FF867C}">
                  <a14:compatExt spid="_x0000_s348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66675</xdr:colOff>
          <xdr:row>48</xdr:row>
          <xdr:rowOff>104775</xdr:rowOff>
        </xdr:from>
        <xdr:to>
          <xdr:col>7</xdr:col>
          <xdr:colOff>1247775</xdr:colOff>
          <xdr:row>51</xdr:row>
          <xdr:rowOff>85725</xdr:rowOff>
        </xdr:to>
        <xdr:sp macro="" textlink="">
          <xdr:nvSpPr>
            <xdr:cNvPr id="34825" name="Object 9" hidden="1">
              <a:extLst>
                <a:ext uri="{63B3BB69-23CF-44E3-9099-C40C66FF867C}">
                  <a14:compatExt spid="_x0000_s34825"/>
                </a:ext>
              </a:extLst>
            </xdr:cNvPr>
            <xdr:cNvSpPr/>
          </xdr:nvSpPr>
          <xdr:spPr>
            <a:xfrm>
              <a:off x="0" y="0"/>
              <a:ext cx="0" cy="0"/>
            </a:xfrm>
            <a:prstGeom prst="rect">
              <a:avLst/>
            </a:prstGeom>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95250</xdr:colOff>
          <xdr:row>52</xdr:row>
          <xdr:rowOff>28575</xdr:rowOff>
        </xdr:from>
        <xdr:to>
          <xdr:col>8</xdr:col>
          <xdr:colOff>19050</xdr:colOff>
          <xdr:row>53</xdr:row>
          <xdr:rowOff>114300</xdr:rowOff>
        </xdr:to>
        <xdr:sp macro="" textlink="">
          <xdr:nvSpPr>
            <xdr:cNvPr id="35841" name="Object 1" hidden="1">
              <a:extLst>
                <a:ext uri="{63B3BB69-23CF-44E3-9099-C40C66FF867C}">
                  <a14:compatExt spid="_x0000_s358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47625</xdr:colOff>
          <xdr:row>46</xdr:row>
          <xdr:rowOff>57150</xdr:rowOff>
        </xdr:from>
        <xdr:to>
          <xdr:col>7</xdr:col>
          <xdr:colOff>47625</xdr:colOff>
          <xdr:row>47</xdr:row>
          <xdr:rowOff>76200</xdr:rowOff>
        </xdr:to>
        <xdr:sp macro="" textlink="">
          <xdr:nvSpPr>
            <xdr:cNvPr id="35843" name="Object 3" hidden="1">
              <a:extLst>
                <a:ext uri="{63B3BB69-23CF-44E3-9099-C40C66FF867C}">
                  <a14:compatExt spid="_x0000_s358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95250</xdr:colOff>
          <xdr:row>48</xdr:row>
          <xdr:rowOff>38100</xdr:rowOff>
        </xdr:from>
        <xdr:to>
          <xdr:col>7</xdr:col>
          <xdr:colOff>1276350</xdr:colOff>
          <xdr:row>51</xdr:row>
          <xdr:rowOff>19050</xdr:rowOff>
        </xdr:to>
        <xdr:sp macro="" textlink="">
          <xdr:nvSpPr>
            <xdr:cNvPr id="35846" name="Object 6" hidden="1">
              <a:extLst>
                <a:ext uri="{63B3BB69-23CF-44E3-9099-C40C66FF867C}">
                  <a14:compatExt spid="_x0000_s35846"/>
                </a:ext>
              </a:extLst>
            </xdr:cNvPr>
            <xdr:cNvSpPr/>
          </xdr:nvSpPr>
          <xdr:spPr>
            <a:xfrm>
              <a:off x="0" y="0"/>
              <a:ext cx="0" cy="0"/>
            </a:xfrm>
            <a:prstGeom prst="rect">
              <a:avLst/>
            </a:prstGeom>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10</xdr:col>
      <xdr:colOff>152400</xdr:colOff>
      <xdr:row>3</xdr:row>
      <xdr:rowOff>0</xdr:rowOff>
    </xdr:from>
    <xdr:to>
      <xdr:col>22</xdr:col>
      <xdr:colOff>381000</xdr:colOff>
      <xdr:row>29</xdr:row>
      <xdr:rowOff>28575</xdr:rowOff>
    </xdr:to>
    <xdr:pic>
      <xdr:nvPicPr>
        <xdr:cNvPr id="1025"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81975" y="600075"/>
          <a:ext cx="8458200" cy="6143625"/>
        </a:xfrm>
        <a:prstGeom prst="rect">
          <a:avLst/>
        </a:prstGeom>
        <a:noFill/>
        <a:ln>
          <a:noFill/>
        </a:ln>
        <a:effectLst/>
        <a:extLst>
          <a:ext uri="{909E8E84-426E-40DD-AFC4-6F175D3DCCD1}">
            <a14:hiddenFill xmlns:a14="http://schemas.microsoft.com/office/drawing/2010/main">
              <a:solidFill>
                <a:srgbClr val="ECD882"/>
              </a:solidFill>
            </a14:hiddenFill>
          </a:ext>
          <a:ext uri="{91240B29-F687-4F45-9708-019B960494DF}">
            <a14:hiddenLine xmlns:a14="http://schemas.microsoft.com/office/drawing/2010/main" w="9525">
              <a:solidFill>
                <a:srgbClr val="40458C"/>
              </a:solidFill>
              <a:miter lim="800000"/>
              <a:headEnd/>
              <a:tailEnd/>
            </a14:hiddenLine>
          </a:ext>
          <a:ext uri="{AF507438-7753-43E0-B8FC-AC1667EBCBE1}">
            <a14:hiddenEffects xmlns:a14="http://schemas.microsoft.com/office/drawing/2010/main">
              <a:effectLst>
                <a:outerShdw dist="35921" dir="2700000" algn="ctr" rotWithShape="0">
                  <a:srgbClr val="B7C1EB"/>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9</xdr:col>
          <xdr:colOff>704850</xdr:colOff>
          <xdr:row>35</xdr:row>
          <xdr:rowOff>28575</xdr:rowOff>
        </xdr:from>
        <xdr:to>
          <xdr:col>19</xdr:col>
          <xdr:colOff>666750</xdr:colOff>
          <xdr:row>51</xdr:row>
          <xdr:rowOff>104775</xdr:rowOff>
        </xdr:to>
        <xdr:sp macro="" textlink="">
          <xdr:nvSpPr>
            <xdr:cNvPr id="1026" name="Object 2"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xdr:twoCellAnchor>
    <xdr:from>
      <xdr:col>10</xdr:col>
      <xdr:colOff>9525</xdr:colOff>
      <xdr:row>29</xdr:row>
      <xdr:rowOff>190500</xdr:rowOff>
    </xdr:from>
    <xdr:to>
      <xdr:col>23</xdr:col>
      <xdr:colOff>238125</xdr:colOff>
      <xdr:row>34</xdr:row>
      <xdr:rowOff>76200</xdr:rowOff>
    </xdr:to>
    <xdr:pic>
      <xdr:nvPicPr>
        <xdr:cNvPr id="1027"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39100" y="6905625"/>
          <a:ext cx="9144000" cy="1076325"/>
        </a:xfrm>
        <a:prstGeom prst="rect">
          <a:avLst/>
        </a:prstGeom>
        <a:noFill/>
        <a:ln>
          <a:noFill/>
        </a:ln>
        <a:effectLst/>
        <a:extLst>
          <a:ext uri="{909E8E84-426E-40DD-AFC4-6F175D3DCCD1}">
            <a14:hiddenFill xmlns:a14="http://schemas.microsoft.com/office/drawing/2010/main">
              <a:solidFill>
                <a:srgbClr val="ECD882"/>
              </a:solidFill>
            </a14:hiddenFill>
          </a:ext>
          <a:ext uri="{91240B29-F687-4F45-9708-019B960494DF}">
            <a14:hiddenLine xmlns:a14="http://schemas.microsoft.com/office/drawing/2010/main" w="9525">
              <a:solidFill>
                <a:srgbClr val="40458C"/>
              </a:solidFill>
              <a:miter lim="800000"/>
              <a:headEnd/>
              <a:tailEnd/>
            </a14:hiddenLine>
          </a:ext>
          <a:ext uri="{AF507438-7753-43E0-B8FC-AC1667EBCBE1}">
            <a14:hiddenEffects xmlns:a14="http://schemas.microsoft.com/office/drawing/2010/main">
              <a:effectLst>
                <a:outerShdw dist="35921" dir="2700000" algn="ctr" rotWithShape="0">
                  <a:srgbClr val="B7C1EB"/>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absoluteAnchor>
    <xdr:pos x="0" y="0"/>
    <xdr:ext cx="8582025" cy="5838825"/>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nist.gov/labmetrology" TargetMode="External"/></Relationships>
</file>

<file path=xl/worksheets/_rels/sheet2.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oleObject" Target="../embeddings/oleObject2.bin"/><Relationship Id="rId5" Type="http://schemas.openxmlformats.org/officeDocument/2006/relationships/image" Target="../media/image1.emf"/><Relationship Id="rId10" Type="http://schemas.openxmlformats.org/officeDocument/2006/relationships/comments" Target="../comments1.xml"/><Relationship Id="rId4" Type="http://schemas.openxmlformats.org/officeDocument/2006/relationships/oleObject" Target="../embeddings/oleObject1.bin"/><Relationship Id="rId9" Type="http://schemas.openxmlformats.org/officeDocument/2006/relationships/image" Target="../media/image3.emf"/></Relationships>
</file>

<file path=xl/worksheets/_rels/sheet3.xml.rels><?xml version="1.0" encoding="UTF-8" standalone="yes"?>
<Relationships xmlns="http://schemas.openxmlformats.org/package/2006/relationships"><Relationship Id="rId8" Type="http://schemas.openxmlformats.org/officeDocument/2006/relationships/oleObject" Target="../embeddings/oleObject6.bin"/><Relationship Id="rId3" Type="http://schemas.openxmlformats.org/officeDocument/2006/relationships/vmlDrawing" Target="../drawings/vmlDrawing2.vml"/><Relationship Id="rId7" Type="http://schemas.openxmlformats.org/officeDocument/2006/relationships/image" Target="../media/image4.emf"/><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oleObject" Target="../embeddings/oleObject5.bin"/><Relationship Id="rId5" Type="http://schemas.openxmlformats.org/officeDocument/2006/relationships/image" Target="../media/image1.emf"/><Relationship Id="rId10" Type="http://schemas.openxmlformats.org/officeDocument/2006/relationships/comments" Target="../comments2.xml"/><Relationship Id="rId4" Type="http://schemas.openxmlformats.org/officeDocument/2006/relationships/oleObject" Target="../embeddings/oleObject4.bin"/><Relationship Id="rId9" Type="http://schemas.openxmlformats.org/officeDocument/2006/relationships/image" Target="../media/image3.emf"/></Relationships>
</file>

<file path=xl/worksheets/_rels/sheet4.xml.rels><?xml version="1.0" encoding="UTF-8" standalone="yes"?>
<Relationships xmlns="http://schemas.openxmlformats.org/package/2006/relationships"><Relationship Id="rId8" Type="http://schemas.openxmlformats.org/officeDocument/2006/relationships/oleObject" Target="../embeddings/oleObject9.bin"/><Relationship Id="rId3" Type="http://schemas.openxmlformats.org/officeDocument/2006/relationships/vmlDrawing" Target="../drawings/vmlDrawing3.vml"/><Relationship Id="rId7" Type="http://schemas.openxmlformats.org/officeDocument/2006/relationships/image" Target="../media/image3.emf"/><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oleObject" Target="../embeddings/oleObject8.bin"/><Relationship Id="rId5" Type="http://schemas.openxmlformats.org/officeDocument/2006/relationships/image" Target="../media/image1.emf"/><Relationship Id="rId10" Type="http://schemas.openxmlformats.org/officeDocument/2006/relationships/comments" Target="../comments3.xml"/><Relationship Id="rId4" Type="http://schemas.openxmlformats.org/officeDocument/2006/relationships/oleObject" Target="../embeddings/oleObject7.bin"/><Relationship Id="rId9" Type="http://schemas.openxmlformats.org/officeDocument/2006/relationships/image" Target="../media/image5.emf"/></Relationships>
</file>

<file path=xl/worksheets/_rels/sheet5.xml.rels><?xml version="1.0" encoding="UTF-8" standalone="yes"?>
<Relationships xmlns="http://schemas.openxmlformats.org/package/2006/relationships"><Relationship Id="rId8" Type="http://schemas.openxmlformats.org/officeDocument/2006/relationships/oleObject" Target="../embeddings/oleObject12.bin"/><Relationship Id="rId3" Type="http://schemas.openxmlformats.org/officeDocument/2006/relationships/vmlDrawing" Target="../drawings/vmlDrawing4.vml"/><Relationship Id="rId7" Type="http://schemas.openxmlformats.org/officeDocument/2006/relationships/image" Target="../media/image3.emf"/><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oleObject" Target="../embeddings/oleObject11.bin"/><Relationship Id="rId5" Type="http://schemas.openxmlformats.org/officeDocument/2006/relationships/image" Target="../media/image1.emf"/><Relationship Id="rId10" Type="http://schemas.openxmlformats.org/officeDocument/2006/relationships/comments" Target="../comments4.xml"/><Relationship Id="rId4" Type="http://schemas.openxmlformats.org/officeDocument/2006/relationships/oleObject" Target="../embeddings/oleObject10.bin"/><Relationship Id="rId9" Type="http://schemas.openxmlformats.org/officeDocument/2006/relationships/image" Target="../media/image5.emf"/></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7.bin"/><Relationship Id="rId5" Type="http://schemas.openxmlformats.org/officeDocument/2006/relationships/image" Target="../media/image6.emf"/><Relationship Id="rId4" Type="http://schemas.openxmlformats.org/officeDocument/2006/relationships/oleObject" Target="../embeddings/Microsoft_Excel_97-2003_Worksheet1.xl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7"/>
  <sheetViews>
    <sheetView workbookViewId="0">
      <selection activeCell="B11" sqref="B11"/>
    </sheetView>
  </sheetViews>
  <sheetFormatPr defaultRowHeight="15.75" x14ac:dyDescent="0.25"/>
  <cols>
    <col min="1" max="1" width="9.875" style="1" bestFit="1" customWidth="1"/>
    <col min="2" max="2" width="84.75" style="1" customWidth="1"/>
    <col min="3" max="16384" width="9" style="1"/>
  </cols>
  <sheetData>
    <row r="1" spans="1:10" x14ac:dyDescent="0.25">
      <c r="A1" s="43" t="s">
        <v>61</v>
      </c>
    </row>
    <row r="3" spans="1:10" x14ac:dyDescent="0.25">
      <c r="A3" s="42">
        <v>39128</v>
      </c>
      <c r="B3" s="1" t="s">
        <v>62</v>
      </c>
    </row>
    <row r="4" spans="1:10" x14ac:dyDescent="0.25">
      <c r="B4" s="1" t="s">
        <v>67</v>
      </c>
    </row>
    <row r="5" spans="1:10" x14ac:dyDescent="0.25">
      <c r="B5" s="1" t="s">
        <v>68</v>
      </c>
    </row>
    <row r="6" spans="1:10" x14ac:dyDescent="0.25">
      <c r="B6" s="1" t="s">
        <v>69</v>
      </c>
    </row>
    <row r="8" spans="1:10" x14ac:dyDescent="0.25">
      <c r="B8" s="1" t="s">
        <v>65</v>
      </c>
    </row>
    <row r="9" spans="1:10" x14ac:dyDescent="0.25">
      <c r="B9" s="1" t="s">
        <v>63</v>
      </c>
    </row>
    <row r="10" spans="1:10" ht="63" x14ac:dyDescent="0.25">
      <c r="A10" s="42">
        <v>41109</v>
      </c>
      <c r="B10" s="46" t="s">
        <v>137</v>
      </c>
    </row>
    <row r="11" spans="1:10" ht="33.75" customHeight="1" x14ac:dyDescent="0.25">
      <c r="A11" s="42">
        <v>41292</v>
      </c>
      <c r="B11" s="46" t="s">
        <v>170</v>
      </c>
    </row>
    <row r="14" spans="1:10" x14ac:dyDescent="0.25">
      <c r="A14" s="44" t="s">
        <v>66</v>
      </c>
    </row>
    <row r="15" spans="1:10" ht="173.25" x14ac:dyDescent="0.25">
      <c r="A15" s="135">
        <v>41249</v>
      </c>
      <c r="B15" s="45" t="s">
        <v>148</v>
      </c>
      <c r="C15" s="45"/>
      <c r="D15" s="45"/>
      <c r="E15" s="45"/>
      <c r="F15" s="45"/>
      <c r="G15" s="45"/>
      <c r="H15" s="45"/>
      <c r="I15" s="45"/>
      <c r="J15" s="45"/>
    </row>
    <row r="16" spans="1:10" x14ac:dyDescent="0.25">
      <c r="A16"/>
    </row>
    <row r="17" spans="1:10" ht="56.25" customHeight="1" x14ac:dyDescent="0.25">
      <c r="A17" s="244" t="s">
        <v>147</v>
      </c>
      <c r="B17" s="244"/>
      <c r="C17" s="176"/>
      <c r="D17" s="176"/>
      <c r="E17" s="176"/>
      <c r="F17" s="176"/>
      <c r="G17" s="176"/>
      <c r="H17" s="176"/>
      <c r="I17" s="176"/>
      <c r="J17" s="176"/>
    </row>
  </sheetData>
  <sheetProtection password="FFED" sheet="1" objects="1" scenarios="1"/>
  <mergeCells count="1">
    <mergeCell ref="A17:B17"/>
  </mergeCells>
  <phoneticPr fontId="11" type="noConversion"/>
  <hyperlinks>
    <hyperlink ref="A17" r:id="rId1" display="http://www.nist.gov/labmetrology"/>
  </hyperlinks>
  <pageMargins left="0.75" right="0.75" top="1" bottom="1" header="0.5" footer="0.5"/>
  <pageSetup scale="88" orientation="portrait" r:id="rId2"/>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transitionEntry="1"/>
  <dimension ref="A1:Q87"/>
  <sheetViews>
    <sheetView showGridLines="0" zoomScaleNormal="100" workbookViewId="0">
      <selection activeCell="B11" sqref="B11"/>
    </sheetView>
  </sheetViews>
  <sheetFormatPr defaultColWidth="9.75" defaultRowHeight="0" customHeight="1" zeroHeight="1" x14ac:dyDescent="0.2"/>
  <cols>
    <col min="1" max="1" width="24.625" style="62" customWidth="1"/>
    <col min="2" max="2" width="20.25" style="62" customWidth="1"/>
    <col min="3" max="3" width="15.125" style="62" customWidth="1"/>
    <col min="4" max="5" width="9.75" style="62" customWidth="1"/>
    <col min="6" max="6" width="11" style="62" customWidth="1"/>
    <col min="7" max="7" width="12.5" style="62" customWidth="1"/>
    <col min="8" max="8" width="18.25" style="62" customWidth="1"/>
    <col min="9" max="9" width="11.875" style="62" customWidth="1"/>
    <col min="10" max="10" width="11.375" style="62" customWidth="1"/>
    <col min="11" max="16384" width="9.75" style="62"/>
  </cols>
  <sheetData>
    <row r="1" spans="1:10" ht="14.25" thickTop="1" thickBot="1" x14ac:dyDescent="0.25">
      <c r="A1" s="246" t="s">
        <v>81</v>
      </c>
      <c r="B1" s="247"/>
      <c r="C1" s="247"/>
      <c r="D1" s="247"/>
      <c r="E1" s="247"/>
      <c r="F1" s="247"/>
      <c r="G1" s="247"/>
      <c r="H1" s="247"/>
      <c r="I1" s="247"/>
      <c r="J1" s="248"/>
    </row>
    <row r="2" spans="1:10" ht="14.25" thickTop="1" thickBot="1" x14ac:dyDescent="0.25">
      <c r="A2" s="249" t="s">
        <v>83</v>
      </c>
      <c r="B2" s="250"/>
      <c r="C2" s="250"/>
      <c r="D2" s="250"/>
      <c r="E2" s="250"/>
      <c r="F2" s="250"/>
      <c r="G2" s="250"/>
      <c r="H2" s="250"/>
      <c r="I2" s="250"/>
      <c r="J2" s="251"/>
    </row>
    <row r="3" spans="1:10" ht="14.25" thickTop="1" thickBot="1" x14ac:dyDescent="0.25">
      <c r="A3" s="177" t="s">
        <v>144</v>
      </c>
      <c r="B3" s="177"/>
      <c r="C3" s="177"/>
      <c r="D3" s="179"/>
      <c r="E3" s="179"/>
      <c r="F3" s="179"/>
    </row>
    <row r="4" spans="1:10" ht="14.25" thickTop="1" thickBot="1" x14ac:dyDescent="0.25">
      <c r="A4" s="51" t="s">
        <v>121</v>
      </c>
      <c r="B4" s="239">
        <v>201</v>
      </c>
      <c r="C4" s="52" t="s">
        <v>97</v>
      </c>
      <c r="D4" s="252"/>
      <c r="E4" s="253"/>
      <c r="F4" s="253"/>
      <c r="G4" s="254"/>
      <c r="H4" s="275" t="s">
        <v>146</v>
      </c>
      <c r="I4" s="276"/>
      <c r="J4" s="277"/>
    </row>
    <row r="5" spans="1:10" ht="13.5" thickTop="1" x14ac:dyDescent="0.2">
      <c r="A5" s="53" t="s">
        <v>93</v>
      </c>
      <c r="B5" s="199">
        <v>118</v>
      </c>
      <c r="C5" s="54" t="s">
        <v>70</v>
      </c>
      <c r="D5" s="255" t="s">
        <v>129</v>
      </c>
      <c r="E5" s="256"/>
      <c r="F5" s="256"/>
      <c r="G5" s="257"/>
      <c r="H5" s="191"/>
      <c r="I5" s="192"/>
      <c r="J5" s="193"/>
    </row>
    <row r="6" spans="1:10" ht="12.75" x14ac:dyDescent="0.2">
      <c r="A6" s="55" t="s">
        <v>71</v>
      </c>
      <c r="B6" s="240" t="s">
        <v>136</v>
      </c>
      <c r="C6" s="127" t="s">
        <v>72</v>
      </c>
      <c r="D6" s="258" t="s">
        <v>168</v>
      </c>
      <c r="E6" s="259"/>
      <c r="F6" s="259"/>
      <c r="G6" s="260"/>
      <c r="H6" s="194"/>
      <c r="I6" s="195"/>
      <c r="J6" s="196"/>
    </row>
    <row r="7" spans="1:10" ht="27" customHeight="1" x14ac:dyDescent="0.2">
      <c r="A7" s="55" t="s">
        <v>77</v>
      </c>
      <c r="B7" s="216">
        <v>1.0000000000000001E-5</v>
      </c>
      <c r="C7" s="128" t="s">
        <v>141</v>
      </c>
      <c r="D7" s="241">
        <v>20</v>
      </c>
      <c r="E7" s="163"/>
      <c r="F7" s="163"/>
      <c r="G7" s="164"/>
      <c r="H7" s="194"/>
      <c r="I7" s="197" t="s">
        <v>162</v>
      </c>
      <c r="J7" s="196"/>
    </row>
    <row r="8" spans="1:10" ht="25.5" x14ac:dyDescent="0.2">
      <c r="A8" s="55" t="s">
        <v>145</v>
      </c>
      <c r="B8" s="216"/>
      <c r="C8" s="54"/>
      <c r="D8" s="181" t="s">
        <v>142</v>
      </c>
      <c r="E8" s="181" t="s">
        <v>143</v>
      </c>
      <c r="F8" s="50" t="s">
        <v>96</v>
      </c>
      <c r="G8" s="198" t="s">
        <v>124</v>
      </c>
      <c r="H8" s="194"/>
      <c r="I8" s="197" t="s">
        <v>163</v>
      </c>
      <c r="J8" s="196"/>
    </row>
    <row r="9" spans="1:10" ht="18.75" customHeight="1" x14ac:dyDescent="0.2">
      <c r="A9" s="55" t="s">
        <v>75</v>
      </c>
      <c r="B9" s="240" t="s">
        <v>149</v>
      </c>
      <c r="C9" s="77" t="s">
        <v>132</v>
      </c>
      <c r="D9" s="119">
        <f>AVERAGE(I24:J24)</f>
        <v>21.875</v>
      </c>
      <c r="E9" s="119">
        <f>AVERAGE(I29:J29)</f>
        <v>21.875</v>
      </c>
      <c r="F9" s="199">
        <v>0.1</v>
      </c>
      <c r="G9" s="200">
        <f>AVERAGE(D9:E9)</f>
        <v>21.875</v>
      </c>
      <c r="H9" s="194"/>
      <c r="I9" s="195"/>
      <c r="J9" s="196"/>
    </row>
    <row r="10" spans="1:10" ht="18.75" customHeight="1" x14ac:dyDescent="0.2">
      <c r="A10" s="55" t="s">
        <v>94</v>
      </c>
      <c r="B10" s="216">
        <v>250</v>
      </c>
      <c r="C10" s="77" t="s">
        <v>133</v>
      </c>
      <c r="D10" s="119">
        <f>AVERAGE(I25:J25)</f>
        <v>752.99</v>
      </c>
      <c r="E10" s="119">
        <f>AVERAGE(I30:J30)</f>
        <v>752.99</v>
      </c>
      <c r="F10" s="199">
        <v>0.5</v>
      </c>
      <c r="G10" s="200">
        <f>AVERAGE(D10:E10)</f>
        <v>752.99</v>
      </c>
      <c r="H10" s="194"/>
      <c r="I10" s="195"/>
      <c r="J10" s="196"/>
    </row>
    <row r="11" spans="1:10" ht="27" customHeight="1" x14ac:dyDescent="0.2">
      <c r="A11" s="55" t="s">
        <v>95</v>
      </c>
      <c r="B11" s="216">
        <v>4.2000000000000003E-2</v>
      </c>
      <c r="C11" s="77" t="s">
        <v>134</v>
      </c>
      <c r="D11" s="119">
        <f>AVERAGE(I26:J26)</f>
        <v>52.055</v>
      </c>
      <c r="E11" s="119">
        <f>AVERAGE(I31:J31)</f>
        <v>52.055</v>
      </c>
      <c r="F11" s="199">
        <v>2</v>
      </c>
      <c r="G11" s="200">
        <f>AVERAGE(D11:E11)</f>
        <v>52.055</v>
      </c>
      <c r="H11" s="194"/>
      <c r="I11" s="195"/>
      <c r="J11" s="196"/>
    </row>
    <row r="12" spans="1:10" ht="20.25" customHeight="1" thickBot="1" x14ac:dyDescent="0.25">
      <c r="A12" s="56" t="s">
        <v>76</v>
      </c>
      <c r="B12" s="217">
        <v>20</v>
      </c>
      <c r="C12" s="261" t="s">
        <v>156</v>
      </c>
      <c r="D12" s="262"/>
      <c r="E12" s="263"/>
      <c r="F12" s="201">
        <v>0.1</v>
      </c>
      <c r="G12" s="131"/>
      <c r="H12" s="194"/>
      <c r="I12" s="195"/>
      <c r="J12" s="196"/>
    </row>
    <row r="13" spans="1:10" ht="14.25" thickTop="1" thickBot="1" x14ac:dyDescent="0.25">
      <c r="A13" s="264" t="s">
        <v>78</v>
      </c>
      <c r="B13" s="264"/>
      <c r="C13" s="264"/>
      <c r="D13" s="265"/>
      <c r="E13" s="265"/>
      <c r="F13" s="265"/>
      <c r="G13" s="202"/>
      <c r="H13" s="194"/>
      <c r="I13" s="195"/>
      <c r="J13" s="196"/>
    </row>
    <row r="14" spans="1:10" ht="39" customHeight="1" thickTop="1" x14ac:dyDescent="0.2">
      <c r="A14" s="266" t="s">
        <v>100</v>
      </c>
      <c r="B14" s="268" t="s">
        <v>102</v>
      </c>
      <c r="C14" s="268" t="s">
        <v>103</v>
      </c>
      <c r="D14" s="270" t="s">
        <v>157</v>
      </c>
      <c r="E14" s="268" t="s">
        <v>101</v>
      </c>
      <c r="F14" s="271" t="s">
        <v>104</v>
      </c>
      <c r="G14" s="273" t="s">
        <v>125</v>
      </c>
      <c r="H14" s="194"/>
      <c r="I14" s="195"/>
      <c r="J14" s="196"/>
    </row>
    <row r="15" spans="1:10" ht="13.5" thickBot="1" x14ac:dyDescent="0.25">
      <c r="A15" s="267"/>
      <c r="B15" s="269"/>
      <c r="C15" s="269"/>
      <c r="D15" s="269"/>
      <c r="E15" s="269"/>
      <c r="F15" s="272"/>
      <c r="G15" s="274"/>
      <c r="H15" s="194"/>
      <c r="I15" s="195"/>
      <c r="J15" s="196"/>
    </row>
    <row r="16" spans="1:10" ht="13.5" thickTop="1" x14ac:dyDescent="0.2">
      <c r="A16" s="57" t="s">
        <v>79</v>
      </c>
      <c r="B16" s="203">
        <v>200</v>
      </c>
      <c r="C16" s="203">
        <f>199.999847-200</f>
        <v>-1.5300000001161607E-4</v>
      </c>
      <c r="D16" s="203">
        <v>6.8999999999999997E-5</v>
      </c>
      <c r="E16" s="203">
        <v>2</v>
      </c>
      <c r="F16" s="204">
        <v>7.85</v>
      </c>
      <c r="G16" s="205">
        <f>IF(ISNUMBER(B16),B16/F16,"")</f>
        <v>25.477707006369428</v>
      </c>
      <c r="H16" s="194"/>
      <c r="I16" s="195"/>
      <c r="J16" s="196"/>
    </row>
    <row r="17" spans="1:17" ht="12.75" x14ac:dyDescent="0.2">
      <c r="A17" s="58" t="s">
        <v>79</v>
      </c>
      <c r="B17" s="206">
        <v>50</v>
      </c>
      <c r="C17" s="206">
        <v>2.928E-3</v>
      </c>
      <c r="D17" s="206">
        <v>1.9000000000000001E-5</v>
      </c>
      <c r="E17" s="206">
        <v>2</v>
      </c>
      <c r="F17" s="207">
        <v>8</v>
      </c>
      <c r="G17" s="205">
        <f>IF(ISNUMBER(B17),B17/F17,"")</f>
        <v>6.25</v>
      </c>
      <c r="H17" s="194"/>
      <c r="I17" s="195"/>
      <c r="J17" s="196"/>
    </row>
    <row r="18" spans="1:17" ht="12.75" x14ac:dyDescent="0.2">
      <c r="A18" s="58" t="s">
        <v>79</v>
      </c>
      <c r="B18" s="206"/>
      <c r="C18" s="206"/>
      <c r="D18" s="206"/>
      <c r="E18" s="206"/>
      <c r="F18" s="207"/>
      <c r="G18" s="205" t="str">
        <f>IF(ISNUMBER(B18),B18/F18,"")</f>
        <v/>
      </c>
      <c r="H18" s="194"/>
      <c r="I18" s="195"/>
      <c r="J18" s="196"/>
    </row>
    <row r="19" spans="1:17" ht="13.5" thickBot="1" x14ac:dyDescent="0.25">
      <c r="A19" s="85" t="s">
        <v>79</v>
      </c>
      <c r="B19" s="208"/>
      <c r="C19" s="208"/>
      <c r="D19" s="208"/>
      <c r="E19" s="208"/>
      <c r="F19" s="209"/>
      <c r="G19" s="210" t="str">
        <f>IF(ISNUMBER(B19),B19/F19,"")</f>
        <v/>
      </c>
      <c r="H19" s="194"/>
      <c r="I19" s="195"/>
      <c r="J19" s="196"/>
    </row>
    <row r="20" spans="1:17" ht="20.25" customHeight="1" thickTop="1" thickBot="1" x14ac:dyDescent="0.25">
      <c r="A20" s="88" t="s">
        <v>123</v>
      </c>
      <c r="B20" s="104">
        <f>SUM(B16:B19)</f>
        <v>250</v>
      </c>
      <c r="C20" s="104">
        <f>SUM(C16:C19)</f>
        <v>2.774999999988384E-3</v>
      </c>
      <c r="D20" s="104">
        <f>SUM(D16:D19)</f>
        <v>8.7999999999999998E-5</v>
      </c>
      <c r="E20" s="104">
        <f>AVERAGE(E16:E19)</f>
        <v>2</v>
      </c>
      <c r="F20" s="105">
        <f>ROUND(B20/G20,6)</f>
        <v>7.8795479999999998</v>
      </c>
      <c r="G20" s="134">
        <f>SUM(G16:G19)</f>
        <v>31.727707006369428</v>
      </c>
      <c r="H20" s="211"/>
      <c r="I20" s="212"/>
      <c r="J20" s="213"/>
    </row>
    <row r="21" spans="1:17" ht="13.5" thickTop="1" x14ac:dyDescent="0.2">
      <c r="A21" s="245" t="s">
        <v>86</v>
      </c>
      <c r="B21" s="245"/>
      <c r="C21" s="245"/>
      <c r="D21" s="245"/>
      <c r="E21" s="245"/>
      <c r="F21" s="245"/>
    </row>
    <row r="22" spans="1:17" ht="13.5" thickBot="1" x14ac:dyDescent="0.25">
      <c r="A22" s="282" t="s">
        <v>138</v>
      </c>
      <c r="B22" s="282"/>
      <c r="C22" s="282"/>
      <c r="D22" s="282"/>
      <c r="E22" s="282"/>
      <c r="F22" s="282"/>
    </row>
    <row r="23" spans="1:17" ht="39" thickTop="1" x14ac:dyDescent="0.2">
      <c r="A23" s="59" t="s">
        <v>40</v>
      </c>
      <c r="B23" s="180" t="s">
        <v>120</v>
      </c>
      <c r="C23" s="180" t="s">
        <v>82</v>
      </c>
      <c r="D23" s="283" t="s">
        <v>131</v>
      </c>
      <c r="E23" s="283"/>
      <c r="F23" s="283"/>
      <c r="G23" s="283"/>
      <c r="H23" s="52"/>
      <c r="I23" s="180" t="s">
        <v>73</v>
      </c>
      <c r="J23" s="120" t="s">
        <v>74</v>
      </c>
      <c r="M23" s="162"/>
      <c r="N23" s="162"/>
      <c r="O23" s="162"/>
      <c r="P23" s="162"/>
    </row>
    <row r="24" spans="1:17" ht="20.100000000000001" customHeight="1" x14ac:dyDescent="0.2">
      <c r="A24" s="286"/>
      <c r="B24" s="287"/>
      <c r="C24" s="287"/>
      <c r="D24" s="287"/>
      <c r="E24" s="287"/>
      <c r="F24" s="287"/>
      <c r="G24" s="288"/>
      <c r="H24" s="54" t="s">
        <v>132</v>
      </c>
      <c r="I24" s="214">
        <v>21.875</v>
      </c>
      <c r="J24" s="215">
        <v>21.875</v>
      </c>
      <c r="M24" s="162"/>
      <c r="N24" s="162"/>
      <c r="O24" s="162"/>
      <c r="P24" s="162"/>
    </row>
    <row r="25" spans="1:17" ht="20.100000000000001" customHeight="1" x14ac:dyDescent="0.2">
      <c r="A25" s="60">
        <v>1</v>
      </c>
      <c r="B25" s="61" t="s">
        <v>90</v>
      </c>
      <c r="C25" s="121" t="s">
        <v>89</v>
      </c>
      <c r="D25" s="284">
        <v>250.00280000000001</v>
      </c>
      <c r="E25" s="284"/>
      <c r="F25" s="284"/>
      <c r="G25" s="284"/>
      <c r="H25" s="54" t="s">
        <v>133</v>
      </c>
      <c r="I25" s="214">
        <v>752.99</v>
      </c>
      <c r="J25" s="215">
        <v>752.99</v>
      </c>
      <c r="M25" s="335"/>
      <c r="N25" s="335"/>
      <c r="O25" s="335"/>
      <c r="P25" s="335"/>
    </row>
    <row r="26" spans="1:17" ht="20.100000000000001" customHeight="1" x14ac:dyDescent="0.2">
      <c r="A26" s="60">
        <v>2</v>
      </c>
      <c r="B26" s="159" t="s">
        <v>166</v>
      </c>
      <c r="C26" s="121" t="s">
        <v>91</v>
      </c>
      <c r="D26" s="284">
        <v>123.91419999999999</v>
      </c>
      <c r="E26" s="284"/>
      <c r="F26" s="284"/>
      <c r="G26" s="284"/>
      <c r="H26" s="54" t="s">
        <v>134</v>
      </c>
      <c r="I26" s="214">
        <v>52.055</v>
      </c>
      <c r="J26" s="215">
        <v>52.055</v>
      </c>
      <c r="M26" s="335"/>
      <c r="N26" s="335"/>
      <c r="O26" s="335"/>
      <c r="P26" s="335"/>
    </row>
    <row r="27" spans="1:17" ht="20.100000000000001" customHeight="1" thickBot="1" x14ac:dyDescent="0.25">
      <c r="A27" s="123">
        <v>3</v>
      </c>
      <c r="B27" s="124" t="s">
        <v>80</v>
      </c>
      <c r="C27" s="125" t="s">
        <v>92</v>
      </c>
      <c r="D27" s="285">
        <v>241.79740000000001</v>
      </c>
      <c r="E27" s="285"/>
      <c r="F27" s="285"/>
      <c r="G27" s="285"/>
      <c r="H27" s="124" t="s">
        <v>98</v>
      </c>
      <c r="I27" s="217">
        <v>21.73</v>
      </c>
      <c r="J27" s="126"/>
      <c r="K27" s="161"/>
      <c r="L27" s="161"/>
      <c r="M27" s="335"/>
      <c r="N27" s="335"/>
      <c r="O27" s="335"/>
      <c r="P27" s="335"/>
    </row>
    <row r="28" spans="1:17" ht="39" thickTop="1" x14ac:dyDescent="0.2">
      <c r="A28" s="59" t="s">
        <v>41</v>
      </c>
      <c r="B28" s="180" t="s">
        <v>120</v>
      </c>
      <c r="C28" s="180" t="s">
        <v>82</v>
      </c>
      <c r="D28" s="283" t="s">
        <v>131</v>
      </c>
      <c r="E28" s="283"/>
      <c r="F28" s="283"/>
      <c r="G28" s="283"/>
      <c r="H28" s="52"/>
      <c r="I28" s="180" t="s">
        <v>73</v>
      </c>
      <c r="J28" s="120" t="s">
        <v>74</v>
      </c>
      <c r="M28" s="162"/>
      <c r="N28" s="162"/>
      <c r="O28" s="162"/>
      <c r="P28" s="162"/>
      <c r="Q28" s="162"/>
    </row>
    <row r="29" spans="1:17" ht="20.100000000000001" customHeight="1" x14ac:dyDescent="0.2">
      <c r="A29" s="286"/>
      <c r="B29" s="287"/>
      <c r="C29" s="287"/>
      <c r="D29" s="287"/>
      <c r="E29" s="287"/>
      <c r="F29" s="287"/>
      <c r="G29" s="288"/>
      <c r="H29" s="54" t="s">
        <v>132</v>
      </c>
      <c r="I29" s="214">
        <v>21.875</v>
      </c>
      <c r="J29" s="214">
        <v>21.875</v>
      </c>
      <c r="N29" s="335"/>
      <c r="O29" s="335"/>
      <c r="P29" s="335"/>
      <c r="Q29" s="335"/>
    </row>
    <row r="30" spans="1:17" ht="20.100000000000001" customHeight="1" x14ac:dyDescent="0.2">
      <c r="A30" s="60">
        <v>1</v>
      </c>
      <c r="B30" s="61" t="s">
        <v>90</v>
      </c>
      <c r="C30" s="121" t="s">
        <v>89</v>
      </c>
      <c r="D30" s="284">
        <v>250.00280000000001</v>
      </c>
      <c r="E30" s="284"/>
      <c r="F30" s="284"/>
      <c r="G30" s="284"/>
      <c r="H30" s="54" t="s">
        <v>133</v>
      </c>
      <c r="I30" s="214">
        <v>752.99</v>
      </c>
      <c r="J30" s="214">
        <v>752.99</v>
      </c>
      <c r="N30" s="335"/>
      <c r="O30" s="335"/>
      <c r="P30" s="335"/>
      <c r="Q30" s="335"/>
    </row>
    <row r="31" spans="1:17" ht="20.100000000000001" customHeight="1" x14ac:dyDescent="0.2">
      <c r="A31" s="60">
        <v>2</v>
      </c>
      <c r="B31" s="159" t="s">
        <v>166</v>
      </c>
      <c r="C31" s="121" t="s">
        <v>91</v>
      </c>
      <c r="D31" s="284">
        <v>123.86539999999999</v>
      </c>
      <c r="E31" s="284"/>
      <c r="F31" s="284"/>
      <c r="G31" s="284"/>
      <c r="H31" s="54" t="s">
        <v>134</v>
      </c>
      <c r="I31" s="214">
        <v>52.055</v>
      </c>
      <c r="J31" s="214">
        <v>52.055</v>
      </c>
      <c r="N31" s="335"/>
      <c r="O31" s="335"/>
      <c r="P31" s="335"/>
      <c r="Q31" s="335"/>
    </row>
    <row r="32" spans="1:17" ht="20.100000000000001" customHeight="1" thickBot="1" x14ac:dyDescent="0.25">
      <c r="A32" s="123">
        <v>3</v>
      </c>
      <c r="B32" s="124" t="s">
        <v>80</v>
      </c>
      <c r="C32" s="125" t="s">
        <v>92</v>
      </c>
      <c r="D32" s="285">
        <v>241.7929</v>
      </c>
      <c r="E32" s="285"/>
      <c r="F32" s="285"/>
      <c r="G32" s="285"/>
      <c r="H32" s="124" t="s">
        <v>98</v>
      </c>
      <c r="I32" s="217">
        <v>21.9</v>
      </c>
      <c r="J32" s="126"/>
      <c r="N32" s="162"/>
      <c r="O32" s="162"/>
      <c r="P32" s="162"/>
      <c r="Q32" s="162"/>
    </row>
    <row r="33" spans="1:10" ht="13.5" thickTop="1" x14ac:dyDescent="0.2">
      <c r="A33" s="218"/>
      <c r="I33" s="162"/>
      <c r="J33" s="162"/>
    </row>
    <row r="34" spans="1:10" ht="13.5" thickBot="1" x14ac:dyDescent="0.25">
      <c r="A34" s="218"/>
      <c r="I34" s="162"/>
      <c r="J34" s="162"/>
    </row>
    <row r="35" spans="1:10" ht="15.75" thickTop="1" x14ac:dyDescent="0.25">
      <c r="A35" s="278" t="s">
        <v>114</v>
      </c>
      <c r="B35" s="279"/>
      <c r="C35" s="178" t="str">
        <f>FIXED((AVERAGE(C54:C55)),(2-1-INT(LOG10(ABS(F75)))))</f>
        <v>118.284</v>
      </c>
      <c r="D35" s="280" t="s">
        <v>39</v>
      </c>
      <c r="E35" s="280"/>
      <c r="F35" s="280"/>
      <c r="G35" s="281"/>
      <c r="I35" s="162"/>
      <c r="J35" s="162"/>
    </row>
    <row r="36" spans="1:10" ht="15.75" thickBot="1" x14ac:dyDescent="0.3">
      <c r="A36" s="326" t="s">
        <v>113</v>
      </c>
      <c r="B36" s="327"/>
      <c r="C36" s="173" t="str">
        <f>FIXED(F75,2-1-INT(LOG10(ABS(F75))))</f>
        <v>0.090</v>
      </c>
      <c r="D36" s="328" t="s">
        <v>39</v>
      </c>
      <c r="E36" s="328"/>
      <c r="F36" s="328"/>
      <c r="G36" s="329"/>
    </row>
    <row r="37" spans="1:10" ht="13.5" thickTop="1" x14ac:dyDescent="0.2">
      <c r="A37" s="218"/>
      <c r="I37" s="162"/>
      <c r="J37" s="162"/>
    </row>
    <row r="38" spans="1:10" ht="13.5" thickBot="1" x14ac:dyDescent="0.25">
      <c r="A38" s="330" t="s">
        <v>99</v>
      </c>
      <c r="B38" s="330"/>
      <c r="C38" s="330"/>
      <c r="D38" s="330"/>
      <c r="E38" s="330"/>
      <c r="F38" s="330"/>
      <c r="I38" s="162"/>
      <c r="J38" s="162"/>
    </row>
    <row r="39" spans="1:10" ht="16.5" thickTop="1" x14ac:dyDescent="0.2">
      <c r="A39" s="305" t="s">
        <v>0</v>
      </c>
      <c r="B39" s="306"/>
      <c r="C39" s="331"/>
      <c r="D39" s="332" t="s">
        <v>64</v>
      </c>
      <c r="E39" s="333"/>
      <c r="F39" s="334"/>
      <c r="I39" s="75"/>
      <c r="J39" s="76"/>
    </row>
    <row r="40" spans="1:10" ht="18.75" x14ac:dyDescent="0.3">
      <c r="A40" s="63" t="s">
        <v>139</v>
      </c>
      <c r="B40" s="64"/>
      <c r="C40" s="96">
        <f>(ROUND(((((D10*(133.322368421053))*(0.02896546))/((1-(((D10*133.322368421053)/(D9+273.15))*((0.00000158123)+((-0.000000029331)*(D9))+(0.00000000011043*D9^2)+(((0.000005707)+(-0.00000002051*D9))*((D11/100)*((1.00062+0.0000000314*(D10*133.322368421053)+0.00000056*D9^2)*((EXP(0.000012378847*(D9+273.15)^2+(-0.019121316*(D9+273.15))+33.93711047+(-6343.1645/(D9+273.15))))/(D10*133.322368421053)))))+((0.00019898+(-0.000002376*D9))*(((D11/100)*((1.00062+0.0000000314*(D10*133.322368421053)+0.00000056*D9^2)*((EXP(0.000012378847*(D9+273.15)^2+(-0.019121316)*(D9+273.15)+33.93711047+(-6343.1645)/(D9+273.15)))/(D10*133.322368421053))))^2))))+(((D10*133.322368421053)^2/((D9+273.15)^2)*(0.0000000000183+(-0.00000000765*(((D11/100)*((1.00062+0.0000000314*(D10*133.322368421053)+0.00000056*D9^2)*((EXP(0.000012378847*(D9+273.15)^2+(-0.019121316)*(D9+273.15)+33.93711047+(-6343.1645)/(D9+273.15)))/(D10*133.322368421053))))^2))))))*(8.314472)*(D9+273.15)))*(1-((0.378*((D11/100)*((1.00062+0.0000000314*(D10*133.322368421053)+0.00000056*D9^2)*((EXP(0.000012378847*(D9+273.15)^2+(-0.019121316)*(D9+273.15)+33.93711047+(-6343.1645)/(D9+273.15)))/(D10*133.322368421053)))))))),9))/1000</f>
        <v>1.179750867E-3</v>
      </c>
      <c r="D40" s="289" t="s">
        <v>116</v>
      </c>
      <c r="E40" s="289"/>
      <c r="F40" s="290"/>
      <c r="I40" s="73"/>
      <c r="J40" s="73"/>
    </row>
    <row r="41" spans="1:10" ht="17.25" customHeight="1" x14ac:dyDescent="0.3">
      <c r="A41" s="63" t="s">
        <v>140</v>
      </c>
      <c r="B41" s="64"/>
      <c r="C41" s="96">
        <f>(ROUND(((((E10*(133.322368421053))*(0.02896546))/((1-(((E10*133.322368421053)/(E9+273.15))*((0.00000158123)+((-0.000000029331)*(E9))+(0.00000000011043*E9^2)+(((0.000005707)+(-0.00000002051*E9))*((E11/100)*((1.00062+0.0000000314*(E10*133.322368421053)+0.00000056*E9^2)*((EXP(0.000012378847*(E9+273.15)^2+(-0.019121316*(E9+273.15))+33.93711047+(-6343.1645/(E9+273.15))))/(E10*133.322368421053)))))+((0.00019898+(-0.000002376*E9))*(((E11/100)*((1.00062+0.0000000314*(E10*133.322368421053)+0.00000056*E9^2)*((EXP(0.000012378847*(E9+273.15)^2+(-0.019121316)*(E9+273.15)+33.93711047+(-6343.1645)/(E9+273.15)))/(E10*133.322368421053))))^2))))+(((E10*133.322368421053)^2/((E9+273.15)^2)*(0.0000000000183+(-0.00000000765*(((E11/100)*((1.00062+0.0000000314*(E10*133.322368421053)+0.00000056*E9^2)*((EXP(0.000012378847*(E9+273.15)^2+(-0.019121316)*(E9+273.15)+33.93711047+(-6343.1645)/(E9+273.15)))/(E10*133.322368421053))))^2))))))*(8.314472)*(E9+273.15)))*(1-((0.378*((E11/100)*((1.00062+0.0000000314*(E10*133.322368421053)+0.00000056*E9^2)*((EXP(0.000012378847*(E9+273.15)^2+(-0.019121316)*(E9+273.15)+33.93711047+(-6343.1645)/(E9+273.15)))/(E10*133.322368421053)))))))),9))/1000</f>
        <v>1.179750867E-3</v>
      </c>
      <c r="D41" s="289" t="s">
        <v>116</v>
      </c>
      <c r="E41" s="289"/>
      <c r="F41" s="290"/>
      <c r="I41" s="73"/>
      <c r="J41" s="73"/>
    </row>
    <row r="42" spans="1:10" ht="12.75" x14ac:dyDescent="0.2">
      <c r="A42" s="274"/>
      <c r="B42" s="291"/>
      <c r="C42" s="291"/>
      <c r="D42" s="291"/>
      <c r="E42" s="291"/>
      <c r="F42" s="292"/>
      <c r="H42" s="162"/>
      <c r="I42" s="162"/>
      <c r="J42" s="162"/>
    </row>
    <row r="43" spans="1:10" ht="12.75" x14ac:dyDescent="0.2">
      <c r="A43" s="293" t="s">
        <v>1</v>
      </c>
      <c r="B43" s="294"/>
      <c r="C43" s="295"/>
      <c r="D43" s="296" t="s">
        <v>59</v>
      </c>
      <c r="E43" s="289"/>
      <c r="F43" s="290"/>
      <c r="H43" s="162"/>
      <c r="I43" s="162"/>
      <c r="J43" s="162"/>
    </row>
    <row r="44" spans="1:10" ht="18" x14ac:dyDescent="0.2">
      <c r="A44" s="63" t="s">
        <v>85</v>
      </c>
      <c r="B44" s="49"/>
      <c r="C44" s="219">
        <f>ROUND(((999.97495*(1-(((I27-3.983035)^2*(I27+301.797))/(522528.9*(I27+69.34881)))))/1000)+(-4.612+0.106*I27)/1000000,8)</f>
        <v>0.99783162000000003</v>
      </c>
      <c r="D44" s="289" t="s">
        <v>122</v>
      </c>
      <c r="E44" s="289"/>
      <c r="F44" s="290"/>
      <c r="H44" s="220"/>
      <c r="I44" s="162"/>
      <c r="J44" s="162"/>
    </row>
    <row r="45" spans="1:10" ht="18" x14ac:dyDescent="0.2">
      <c r="A45" s="63" t="s">
        <v>87</v>
      </c>
      <c r="B45" s="49"/>
      <c r="C45" s="221">
        <f>ROUND(((999.97495*(1-(((I32-3.983035)^2*(I32+301.797))/(522528.9*(I32+69.34881)))))/1000)+(-4.612+0.106*I32)/1000000,8)</f>
        <v>0.99779335000000002</v>
      </c>
      <c r="D45" s="289" t="s">
        <v>122</v>
      </c>
      <c r="E45" s="289"/>
      <c r="F45" s="290"/>
      <c r="H45" s="222"/>
      <c r="I45" s="162"/>
      <c r="J45" s="162"/>
    </row>
    <row r="46" spans="1:10" ht="12.75" x14ac:dyDescent="0.2">
      <c r="A46" s="293" t="s">
        <v>2</v>
      </c>
      <c r="B46" s="294"/>
      <c r="C46" s="295"/>
      <c r="D46" s="296" t="s">
        <v>58</v>
      </c>
      <c r="E46" s="289"/>
      <c r="F46" s="290"/>
      <c r="H46" s="223"/>
      <c r="I46" s="223"/>
      <c r="J46" s="162"/>
    </row>
    <row r="47" spans="1:10" ht="12.75" x14ac:dyDescent="0.2">
      <c r="A47" s="63" t="s">
        <v>42</v>
      </c>
      <c r="B47" s="49"/>
      <c r="C47" s="93">
        <f>ROUND((1-B7*(I27-D7)),6)</f>
        <v>0.99998299999999996</v>
      </c>
      <c r="D47" s="296" t="s">
        <v>115</v>
      </c>
      <c r="E47" s="289"/>
      <c r="F47" s="290"/>
      <c r="H47" s="223"/>
      <c r="I47" s="223"/>
      <c r="J47" s="162"/>
    </row>
    <row r="48" spans="1:10" ht="12.75" x14ac:dyDescent="0.2">
      <c r="A48" s="63" t="s">
        <v>43</v>
      </c>
      <c r="B48" s="49"/>
      <c r="C48" s="84">
        <f>ROUND((1-B7*(I32-D7)),6)</f>
        <v>0.99998100000000001</v>
      </c>
      <c r="D48" s="296" t="s">
        <v>115</v>
      </c>
      <c r="E48" s="289"/>
      <c r="F48" s="290"/>
      <c r="H48" s="223"/>
      <c r="I48" s="224"/>
      <c r="J48" s="162"/>
    </row>
    <row r="49" spans="1:10" ht="26.25" customHeight="1" x14ac:dyDescent="0.2">
      <c r="A49" s="293" t="s">
        <v>105</v>
      </c>
      <c r="B49" s="294"/>
      <c r="C49" s="295"/>
      <c r="D49" s="313"/>
      <c r="E49" s="314"/>
      <c r="F49" s="315"/>
      <c r="G49" s="299"/>
      <c r="H49" s="300"/>
      <c r="I49" s="223"/>
      <c r="J49" s="162"/>
    </row>
    <row r="50" spans="1:10" ht="12.75" x14ac:dyDescent="0.2">
      <c r="A50" s="63" t="s">
        <v>106</v>
      </c>
      <c r="B50" s="49"/>
      <c r="C50" s="91">
        <f>(D27-D26)*(B20+C20)/D25*(1-C40/F20)*(1/(C44-C40))</f>
        <v>118.26149332392302</v>
      </c>
      <c r="D50" s="184" t="s">
        <v>39</v>
      </c>
      <c r="E50" s="185"/>
      <c r="F50" s="186"/>
      <c r="H50" s="223"/>
      <c r="I50" s="225"/>
      <c r="J50" s="162"/>
    </row>
    <row r="51" spans="1:10" ht="12.75" x14ac:dyDescent="0.2">
      <c r="A51" s="63" t="s">
        <v>107</v>
      </c>
      <c r="B51" s="49"/>
      <c r="C51" s="83">
        <f>(D32-D31)*(B20+C20)/D30*(1-C41/F20)*(1/(C45-C41))</f>
        <v>118.31047843733754</v>
      </c>
      <c r="D51" s="184" t="s">
        <v>39</v>
      </c>
      <c r="E51" s="185"/>
      <c r="F51" s="186"/>
      <c r="H51" s="223"/>
      <c r="I51" s="223"/>
      <c r="J51" s="162"/>
    </row>
    <row r="52" spans="1:10" ht="12.75" x14ac:dyDescent="0.2">
      <c r="A52" s="183"/>
      <c r="B52" s="182"/>
      <c r="C52" s="160"/>
      <c r="D52" s="184"/>
      <c r="E52" s="185"/>
      <c r="F52" s="186"/>
      <c r="H52" s="223"/>
      <c r="I52" s="223"/>
      <c r="J52" s="162"/>
    </row>
    <row r="53" spans="1:10" ht="12.75" x14ac:dyDescent="0.2">
      <c r="A53" s="293" t="s">
        <v>108</v>
      </c>
      <c r="B53" s="294"/>
      <c r="C53" s="295"/>
      <c r="D53" s="184"/>
      <c r="E53" s="185"/>
      <c r="F53" s="186"/>
      <c r="H53" s="223"/>
      <c r="I53" s="223"/>
      <c r="J53" s="162"/>
    </row>
    <row r="54" spans="1:10" ht="14.25" x14ac:dyDescent="0.25">
      <c r="A54" s="301" t="s">
        <v>109</v>
      </c>
      <c r="B54" s="302"/>
      <c r="C54" s="91">
        <f>C50*C47</f>
        <v>118.2594828785365</v>
      </c>
      <c r="D54" s="187" t="s">
        <v>159</v>
      </c>
      <c r="E54" s="185"/>
      <c r="F54" s="186"/>
      <c r="H54" s="223"/>
      <c r="I54" s="223"/>
      <c r="J54" s="162"/>
    </row>
    <row r="55" spans="1:10" ht="15" thickBot="1" x14ac:dyDescent="0.3">
      <c r="A55" s="303" t="s">
        <v>110</v>
      </c>
      <c r="B55" s="304"/>
      <c r="C55" s="152">
        <f>C51*C48</f>
        <v>118.30823053824723</v>
      </c>
      <c r="D55" s="153" t="s">
        <v>160</v>
      </c>
      <c r="E55" s="150"/>
      <c r="F55" s="151"/>
      <c r="H55" s="223"/>
      <c r="I55" s="223"/>
      <c r="J55" s="162"/>
    </row>
    <row r="56" spans="1:10" ht="13.5" thickTop="1" x14ac:dyDescent="0.2">
      <c r="A56" s="305" t="s">
        <v>150</v>
      </c>
      <c r="B56" s="306"/>
      <c r="C56" s="312"/>
      <c r="D56" s="316"/>
      <c r="E56" s="317"/>
      <c r="F56" s="318"/>
      <c r="H56" s="223"/>
      <c r="I56" s="223"/>
      <c r="J56" s="162"/>
    </row>
    <row r="57" spans="1:10" ht="15" x14ac:dyDescent="0.3">
      <c r="A57" s="154" t="s">
        <v>158</v>
      </c>
      <c r="B57" s="49"/>
      <c r="C57" s="83">
        <f>STDEV(C54:C55)</f>
        <v>3.4469800748429653E-2</v>
      </c>
      <c r="D57" s="319" t="s">
        <v>161</v>
      </c>
      <c r="E57" s="320"/>
      <c r="F57" s="321"/>
      <c r="H57" s="223"/>
      <c r="I57" s="223"/>
      <c r="J57" s="162"/>
    </row>
    <row r="58" spans="1:10" ht="12.75" x14ac:dyDescent="0.2">
      <c r="A58" s="226" t="s">
        <v>151</v>
      </c>
      <c r="B58" s="227"/>
      <c r="C58" s="228">
        <f>B11</f>
        <v>4.2000000000000003E-2</v>
      </c>
      <c r="D58" s="310" t="str">
        <f>IF(C58=0,"Incomplete",IF(C57&lt;(C58*3),"Difference is less than Control Limits, Pass", "Fail"))</f>
        <v>Difference is less than Control Limits, Pass</v>
      </c>
      <c r="E58" s="310"/>
      <c r="F58" s="311"/>
      <c r="H58" s="162"/>
      <c r="I58" s="162"/>
      <c r="J58" s="162"/>
    </row>
    <row r="59" spans="1:10" ht="13.5" thickBot="1" x14ac:dyDescent="0.25">
      <c r="A59" s="229"/>
      <c r="B59" s="230"/>
      <c r="C59" s="230"/>
      <c r="D59" s="322"/>
      <c r="E59" s="323"/>
      <c r="F59" s="324"/>
      <c r="H59" s="162"/>
      <c r="I59" s="162"/>
      <c r="J59" s="162"/>
    </row>
    <row r="60" spans="1:10" ht="14.25" thickTop="1" thickBot="1" x14ac:dyDescent="0.25"/>
    <row r="61" spans="1:10" ht="13.5" thickTop="1" x14ac:dyDescent="0.2">
      <c r="A61" s="305" t="s">
        <v>117</v>
      </c>
      <c r="B61" s="306"/>
      <c r="C61" s="306"/>
      <c r="D61" s="306"/>
      <c r="E61" s="306"/>
      <c r="F61" s="307"/>
    </row>
    <row r="62" spans="1:10" ht="13.5" thickBot="1" x14ac:dyDescent="0.25">
      <c r="A62" s="116" t="s">
        <v>118</v>
      </c>
      <c r="B62" s="117" t="s">
        <v>46</v>
      </c>
      <c r="C62" s="117" t="s">
        <v>47</v>
      </c>
      <c r="D62" s="117" t="s">
        <v>49</v>
      </c>
      <c r="E62" s="117" t="s">
        <v>48</v>
      </c>
      <c r="F62" s="118" t="s">
        <v>119</v>
      </c>
    </row>
    <row r="63" spans="1:10" ht="13.5" thickTop="1" x14ac:dyDescent="0.2">
      <c r="A63" s="110" t="s">
        <v>45</v>
      </c>
      <c r="B63" s="111">
        <f>D20/E20</f>
        <v>4.3999999999999999E-5</v>
      </c>
      <c r="C63" s="112" t="s">
        <v>44</v>
      </c>
      <c r="D63" s="113">
        <f>B63</f>
        <v>4.3999999999999999E-5</v>
      </c>
      <c r="E63" s="114" t="s">
        <v>50</v>
      </c>
      <c r="F63" s="238">
        <f>D63</f>
        <v>4.3999999999999999E-5</v>
      </c>
    </row>
    <row r="64" spans="1:10" ht="12.75" x14ac:dyDescent="0.2">
      <c r="A64" s="110" t="s">
        <v>167</v>
      </c>
      <c r="B64" s="111">
        <f>C58/4</f>
        <v>1.0500000000000001E-2</v>
      </c>
      <c r="C64" s="235" t="s">
        <v>39</v>
      </c>
      <c r="D64" s="113">
        <f>B64</f>
        <v>1.0500000000000001E-2</v>
      </c>
      <c r="E64" s="236" t="s">
        <v>56</v>
      </c>
      <c r="F64" s="67">
        <f>ABS(D64/3^0.5)</f>
        <v>6.0621778264910711E-3</v>
      </c>
    </row>
    <row r="65" spans="1:8" ht="18.75" customHeight="1" x14ac:dyDescent="0.2">
      <c r="A65" s="65" t="s">
        <v>128</v>
      </c>
      <c r="B65" s="103">
        <f>B11</f>
        <v>4.2000000000000003E-2</v>
      </c>
      <c r="C65" s="66" t="s">
        <v>39</v>
      </c>
      <c r="D65" s="97">
        <f>B65</f>
        <v>4.2000000000000003E-2</v>
      </c>
      <c r="E65" s="50" t="s">
        <v>50</v>
      </c>
      <c r="F65" s="67">
        <f>D65</f>
        <v>4.2000000000000003E-2</v>
      </c>
      <c r="G65" s="308" t="s">
        <v>126</v>
      </c>
      <c r="H65" s="309"/>
    </row>
    <row r="66" spans="1:8" ht="12.75" x14ac:dyDescent="0.2">
      <c r="A66" s="65" t="s">
        <v>51</v>
      </c>
      <c r="B66" s="91">
        <f>F12</f>
        <v>0.1</v>
      </c>
      <c r="C66" s="66" t="s">
        <v>12</v>
      </c>
      <c r="D66" s="93">
        <f>(C50*C47)-(C50*G66)+(D26-D27)*(B20+C20)/D25*(1-C40/F20)*(1/(C44-C40))-(D26-D27)*(B20+C20)/D25*(1-C40/F20)*(1/(H66-C40))</f>
        <v>2.7750912288979634E-3</v>
      </c>
      <c r="E66" s="50" t="s">
        <v>56</v>
      </c>
      <c r="F66" s="67">
        <f>ABS(D66/3^0.5)</f>
        <v>1.6021996680300086E-3</v>
      </c>
      <c r="G66" s="237">
        <f>ROUND((1-B7*(I27+B66-D7)),6)</f>
        <v>0.99998200000000004</v>
      </c>
      <c r="H66" s="219">
        <f>ROUND(((999.97495*(1-(((I27+B66-3.983035)^2*(I27+B66+301.797))/(522528.9*(I27+B66+69.34881)))))/1000)+(-4.612+0.106*I27+B66)/1000000,8)</f>
        <v>0.99780922999999999</v>
      </c>
    </row>
    <row r="67" spans="1:8" ht="12.75" x14ac:dyDescent="0.2">
      <c r="A67" s="65" t="s">
        <v>60</v>
      </c>
      <c r="B67" s="91">
        <v>9.9999999999999995E-7</v>
      </c>
      <c r="C67" s="68" t="s">
        <v>111</v>
      </c>
      <c r="D67" s="93">
        <f>(C50*C47)-(C50*G67)</f>
        <v>2.3652298663989768E-4</v>
      </c>
      <c r="E67" s="50" t="s">
        <v>56</v>
      </c>
      <c r="F67" s="98">
        <f>ABS(D67/(3^0.5))</f>
        <v>1.365566100060792E-4</v>
      </c>
      <c r="G67" s="95">
        <f>ROUND((1-(B7+B67)*(I27-D7)),6)</f>
        <v>0.99998100000000001</v>
      </c>
      <c r="H67" s="231"/>
    </row>
    <row r="68" spans="1:8" ht="15.75" x14ac:dyDescent="0.2">
      <c r="A68" s="65" t="s">
        <v>24</v>
      </c>
      <c r="B68" s="91">
        <v>3.9999999999999998E-6</v>
      </c>
      <c r="C68" s="66" t="s">
        <v>84</v>
      </c>
      <c r="D68" s="93">
        <f>(D26-D27)*(B20+C20)/D25*(1-C40/F20)*(1/(C44-C40))-(D26-D27)*(B20+C20)/D25*(1-C40/F20)*(1/(G68-C40))</f>
        <v>-4.7463320886720339E-4</v>
      </c>
      <c r="E68" s="50" t="s">
        <v>56</v>
      </c>
      <c r="F68" s="98">
        <f>ABS(D68/(3^0.5))</f>
        <v>2.7402961090581575E-4</v>
      </c>
      <c r="G68" s="95">
        <f>C44+B68</f>
        <v>0.99783562000000003</v>
      </c>
      <c r="H68" s="231"/>
    </row>
    <row r="69" spans="1:8" ht="12.75" x14ac:dyDescent="0.2">
      <c r="A69" s="65" t="s">
        <v>135</v>
      </c>
      <c r="B69" s="91">
        <f>F9</f>
        <v>0.1</v>
      </c>
      <c r="C69" s="66" t="s">
        <v>12</v>
      </c>
      <c r="D69" s="91">
        <f>(D26-D27)*(B20+C20)/D25*(1-C40/F20)*(1/(C44-C40))-(D26-D27)*(B20+C20)/D25*(1-G69/F20)*(1/(C44-G69))</f>
        <v>-4.5408110295852566E-5</v>
      </c>
      <c r="E69" s="50" t="s">
        <v>56</v>
      </c>
      <c r="F69" s="98">
        <f>ABS(D69/(3^0.5))</f>
        <v>2.6216384702702699E-5</v>
      </c>
      <c r="G69" s="91">
        <f>(ROUND(((((G10*(133.322368421053))*(0.02896546))/((1-(((G10*133.322368421053)/(H69+273.15))*((0.00000158123)+((-0.000000029331)*(H69))+(0.00000000011043*H69^2)+(((0.000005707)+(-0.00000002051*H69))*((G11/100)*((1.00062+0.0000000314*(G10*133.322368421053)+0.00000056*H69^2)*((EXP(0.000012378847*(H69+273.15)^2+(-0.019121316*(H69+273.15))+33.93711047+(-6343.1645/(H69+273.15))))/(G10*133.322368421053)))))+((0.00019898+(-0.000002376*H69))*(((G11/100)*((1.00062+0.0000000314*(G10*133.322368421053)+0.00000056*H69^2)*((EXP(0.000012378847*(H69+273.15)^2+(-0.019121316)*(H69+273.15)+33.93711047+(-6343.1645)/(H69+273.15)))/(G10*133.322368421053))))^2))))+(((G10*133.322368421053)^2/((H69+273.15)^2)*(0.0000000000183+(-0.00000000765*(((G11/100)*((1.00062+0.0000000314*(G10*133.322368421053)+0.00000056*H69^2)*((EXP(0.000012378847*(H69+273.15)^2+(-0.019121316)*(H69+273.15)+33.93711047+(-6343.1645)/(H69+273.15)))/(G10*133.322368421053))))^2))))))*(8.314472)*(H69+273.15)))*(1-((0.378*((G11/100)*((1.00062+0.0000000314*(G10*133.322368421053)+0.00000056*H69^2)*((EXP(0.000012378847*(H69+273.15)^2+(-0.019121316)*(H69+273.15)+33.93711047+(-6343.1645)/(H69+273.15)))/(G10*133.322368421053)))))))),9))/1000</f>
        <v>1.179312767E-3</v>
      </c>
      <c r="H69" s="232">
        <f>(G9+B69)</f>
        <v>21.975000000000001</v>
      </c>
    </row>
    <row r="70" spans="1:8" ht="12.75" x14ac:dyDescent="0.2">
      <c r="A70" s="65" t="s">
        <v>52</v>
      </c>
      <c r="B70" s="91">
        <f>F10</f>
        <v>0.5</v>
      </c>
      <c r="C70" s="66" t="s">
        <v>9</v>
      </c>
      <c r="D70" s="91">
        <f>(D26-D27)*(B20+C20)/D25*(1-C40/F20)*(1/(C44-C40))-(D26-D27)*(B20+C20)/D25*(1-G70/F20)*(1/(C44-G70))</f>
        <v>8.1642141410043223E-5</v>
      </c>
      <c r="E70" s="50" t="s">
        <v>56</v>
      </c>
      <c r="F70" s="98">
        <f>ABS(D70/(3^0.5))</f>
        <v>4.7136112320305953E-5</v>
      </c>
      <c r="G70" s="91">
        <f>(ROUND(((((H70*(133.322368421053))*(0.02896546))/((1-(((H70*133.322368421053)/(G9+273.15))*((0.00000158123)+((-0.000000029331)*(G9))+(0.00000000011043*G9^2)+(((0.000005707)+(-0.00000002051*G9))*((G11/100)*((1.00062+0.0000000314*(H70*133.322368421053)+0.00000056*G9^2)*((EXP(0.000012378847*(G9+273.15)^2+(-0.019121316*(G9+273.15))+33.93711047+(-6343.1645/(G9+273.15))))/(H70*133.322368421053)))))+((0.00019898+(-0.000002376*G9))*(((G11/100)*((1.00062+0.0000000314*(H70*133.322368421053)+0.00000056*G9^2)*((EXP(0.000012378847*(G9+273.15)^2+(-0.019121316)*(G9+273.15)+33.93711047+(-6343.1645)/(G9+273.15)))/(H70*133.322368421053))))^2))))+(((H70*133.322368421053)^2/((G9+273.15)^2)*(0.0000000000183+(-0.00000000765*(((G11/100)*((1.00062+0.0000000314*(H70*133.322368421053)+0.00000056*G9^2)*((EXP(0.000012378847*(G9+273.15)^2+(-0.019121316)*(G9+273.15)+33.93711047+(-6343.1645)/(G9+273.15)))/(H70*133.322368421053))))^2))))))*(8.314472)*(G9+273.15)))*(1-((0.378*((G11/100)*((1.00062+0.0000000314*(H70*133.322368421053)+0.00000056*G9^2)*((EXP(0.000012378847*(G9+273.15)^2+(-0.019121316)*(G9+273.15)+33.93711047+(-6343.1645)/(G9+273.15)))/(H70*133.322368421053)))))))),9))/1000</f>
        <v>1.180538554E-3</v>
      </c>
      <c r="H70" s="232">
        <f>(G10+B70)</f>
        <v>753.49</v>
      </c>
    </row>
    <row r="71" spans="1:8" ht="12.75" x14ac:dyDescent="0.2">
      <c r="A71" s="65" t="s">
        <v>53</v>
      </c>
      <c r="B71" s="91">
        <f>F11</f>
        <v>2</v>
      </c>
      <c r="C71" s="66" t="s">
        <v>15</v>
      </c>
      <c r="D71" s="91">
        <f>(D26-D27)*(B20+C20)/D25*(1-C40/F20)*(1/(C44-C40))-(D26-D27)*(B20+C20)/D25*(1-G71/F20)*(1/(C44-G71))</f>
        <v>-2.4190266216805867E-5</v>
      </c>
      <c r="E71" s="50" t="s">
        <v>56</v>
      </c>
      <c r="F71" s="98">
        <f>ABS(D71/(3^0.5))</f>
        <v>1.3966256712041578E-5</v>
      </c>
      <c r="G71" s="91">
        <f>(ROUND(((((G10*(133.322368421053))*(0.02896546))/((1-(((G10*133.322368421053)/(G9+273.15))*((0.00000158123)+((-0.000000029331)*(G9))+(0.00000000011043*G9^2)+(((0.000005707)+(-0.00000002051*G9))*((H71/100)*((1.00062+0.0000000314*(G10*133.322368421053)+0.00000056*G9^2)*((EXP(0.000012378847*(G9+273.15)^2+(-0.019121316*(G9+273.15))+33.93711047+(-6343.1645/(G9+273.15))))/(G10*133.322368421053)))))+((0.00019898+(-0.000002376*G9))*(((H71/100)*((1.00062+0.0000000314*(G10*133.322368421053)+0.00000056*G9^2)*((EXP(0.000012378847*(G9+273.15)^2+(-0.019121316)*(G9+273.15)+33.93711047+(-6343.1645)/(G9+273.15)))/(G10*133.322368421053))))^2))))+(((G10*133.322368421053)^2/((G9+273.15)^2)*(0.0000000000183+(-0.00000000765*(((H71/100)*((1.00062+0.0000000314*(G10*133.322368421053)+0.00000056*G9^2)*((EXP(0.000012378847*(G9+273.15)^2+(-0.019121316)*(G9+273.15)+33.93711047+(-6343.1645)/(G9+273.15)))/(G10*133.322368421053))))^2))))))*(8.314472)*(G9+273.15)))*(1-((0.378*((H71/100)*((1.00062+0.0000000314*(G10*133.322368421053)+0.00000056*G9^2)*((EXP(0.000012378847*(G9+273.15)^2+(-0.019121316)*(G9+273.15)+33.93711047+(-6343.1645)/(G9+273.15)))/(G10*133.322368421053)))))))),9))/1000</f>
        <v>1.179517478E-3</v>
      </c>
      <c r="H71" s="232">
        <f>(G11+B71)</f>
        <v>54.055</v>
      </c>
    </row>
    <row r="72" spans="1:8" ht="15.75" x14ac:dyDescent="0.2">
      <c r="A72" s="65" t="s">
        <v>54</v>
      </c>
      <c r="B72" s="91">
        <f>0.000022*AVERAGE(C40:C41)*1000</f>
        <v>2.5954519073999999E-5</v>
      </c>
      <c r="C72" s="66" t="s">
        <v>88</v>
      </c>
      <c r="D72" s="91">
        <f>(D26-D27)*(B20+C20)/D25*(1-(C40)/F20)*(1/(C44-C40))-(D26-D27)*(B20+C20)/D25*(1-(C40+B72/1000)/F20)*(1/(C44-(C40+B72/1000)))</f>
        <v>2.6901305716364732E-6</v>
      </c>
      <c r="E72" s="50" t="s">
        <v>50</v>
      </c>
      <c r="F72" s="98">
        <f>ABS(D72)</f>
        <v>2.6901305716364732E-6</v>
      </c>
      <c r="G72" s="92"/>
      <c r="H72" s="228"/>
    </row>
    <row r="73" spans="1:8" ht="15.75" x14ac:dyDescent="0.2">
      <c r="A73" s="65" t="s">
        <v>55</v>
      </c>
      <c r="B73" s="91">
        <v>0.05</v>
      </c>
      <c r="C73" s="66" t="s">
        <v>84</v>
      </c>
      <c r="D73" s="91">
        <f>(D26-D27)*(B20+C20)/D25*(1-C40/F20)*(1/(C44-C40))-(D26-D27)*(B20+C20)/D25*(1-C40/(F20+B73))*(1/(C44-C40))</f>
        <v>1.1166548566166057E-4</v>
      </c>
      <c r="E73" s="50" t="s">
        <v>56</v>
      </c>
      <c r="F73" s="98">
        <f>ABS(D73/(3^0.5))</f>
        <v>6.4470098205950029E-5</v>
      </c>
      <c r="G73" s="92"/>
      <c r="H73" s="228"/>
    </row>
    <row r="74" spans="1:8" ht="12.75" x14ac:dyDescent="0.2">
      <c r="A74" s="274"/>
      <c r="B74" s="291"/>
      <c r="C74" s="291"/>
      <c r="D74" s="325"/>
      <c r="E74" s="69" t="s">
        <v>57</v>
      </c>
      <c r="F74" s="67">
        <f>SQRT(SUMSQ(F63:F73))</f>
        <v>4.246669268391675E-2</v>
      </c>
    </row>
    <row r="75" spans="1:8" ht="15.75" thickBot="1" x14ac:dyDescent="0.3">
      <c r="A75" s="297" t="s">
        <v>130</v>
      </c>
      <c r="B75" s="298"/>
      <c r="C75" s="106">
        <f>ROUND(TINV(0.0455,B12),2)</f>
        <v>2.13</v>
      </c>
      <c r="D75" s="107"/>
      <c r="E75" s="108" t="s">
        <v>112</v>
      </c>
      <c r="F75" s="109">
        <f>F74*C75</f>
        <v>9.0454055416742674E-2</v>
      </c>
    </row>
    <row r="76" spans="1:8" ht="12.75" customHeight="1" thickTop="1" x14ac:dyDescent="0.2"/>
    <row r="77" spans="1:8" ht="12.75" x14ac:dyDescent="0.2">
      <c r="A77" s="233"/>
      <c r="B77" s="233"/>
    </row>
    <row r="78" spans="1:8" ht="12.75" hidden="1" x14ac:dyDescent="0.2"/>
    <row r="79" spans="1:8" ht="12.75" customHeight="1" x14ac:dyDescent="0.2"/>
    <row r="80" spans="1:8"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sheetData>
  <sheetProtection password="FFED" sheet="1" objects="1" scenarios="1"/>
  <mergeCells count="66">
    <mergeCell ref="N31:Q31"/>
    <mergeCell ref="M25:P25"/>
    <mergeCell ref="M26:P26"/>
    <mergeCell ref="M27:P27"/>
    <mergeCell ref="N29:Q29"/>
    <mergeCell ref="N30:Q30"/>
    <mergeCell ref="D40:F40"/>
    <mergeCell ref="A36:B36"/>
    <mergeCell ref="D36:G36"/>
    <mergeCell ref="A38:F38"/>
    <mergeCell ref="A39:C39"/>
    <mergeCell ref="D39:F39"/>
    <mergeCell ref="A46:C46"/>
    <mergeCell ref="D46:F46"/>
    <mergeCell ref="D47:F47"/>
    <mergeCell ref="D48:F48"/>
    <mergeCell ref="D45:F45"/>
    <mergeCell ref="A75:B75"/>
    <mergeCell ref="G49:H49"/>
    <mergeCell ref="A53:C53"/>
    <mergeCell ref="A54:B54"/>
    <mergeCell ref="A55:B55"/>
    <mergeCell ref="A61:F61"/>
    <mergeCell ref="G65:H65"/>
    <mergeCell ref="D58:F58"/>
    <mergeCell ref="A56:C56"/>
    <mergeCell ref="A49:C49"/>
    <mergeCell ref="D49:F49"/>
    <mergeCell ref="D56:F56"/>
    <mergeCell ref="D57:F57"/>
    <mergeCell ref="D59:F59"/>
    <mergeCell ref="A74:D74"/>
    <mergeCell ref="D41:F41"/>
    <mergeCell ref="A42:F42"/>
    <mergeCell ref="A43:C43"/>
    <mergeCell ref="D43:F43"/>
    <mergeCell ref="D44:F44"/>
    <mergeCell ref="A35:B35"/>
    <mergeCell ref="D35:G35"/>
    <mergeCell ref="A22:F22"/>
    <mergeCell ref="D23:G23"/>
    <mergeCell ref="D25:G25"/>
    <mergeCell ref="D26:G26"/>
    <mergeCell ref="D27:G27"/>
    <mergeCell ref="D28:G28"/>
    <mergeCell ref="D30:G30"/>
    <mergeCell ref="D31:G31"/>
    <mergeCell ref="D32:G32"/>
    <mergeCell ref="A24:G24"/>
    <mergeCell ref="A29:G29"/>
    <mergeCell ref="A21:F21"/>
    <mergeCell ref="A1:J1"/>
    <mergeCell ref="A2:J2"/>
    <mergeCell ref="D4:G4"/>
    <mergeCell ref="D5:G5"/>
    <mergeCell ref="D6:G6"/>
    <mergeCell ref="C12:E12"/>
    <mergeCell ref="A13:F13"/>
    <mergeCell ref="A14:A15"/>
    <mergeCell ref="B14:B15"/>
    <mergeCell ref="C14:C15"/>
    <mergeCell ref="D14:D15"/>
    <mergeCell ref="E14:E15"/>
    <mergeCell ref="F14:F15"/>
    <mergeCell ref="G14:G15"/>
    <mergeCell ref="H4:J4"/>
  </mergeCells>
  <conditionalFormatting sqref="D58">
    <cfRule type="containsText" dxfId="3" priority="1" operator="containsText" text="Pass">
      <formula>NOT(ISERROR(SEARCH("Pass",D58)))</formula>
    </cfRule>
  </conditionalFormatting>
  <pageMargins left="0.7" right="0.7" top="0.75" bottom="0.75" header="0.3" footer="0.3"/>
  <pageSetup scale="66" fitToHeight="2" orientation="landscape" r:id="rId1"/>
  <headerFooter alignWithMargins="0">
    <oddHeader>&amp;C&amp;"Times New Roman,Regular"&amp;F</oddHeader>
    <oddFooter>&amp;C&amp;"Times New Roman,Regular"Page &amp;P of &amp;N</oddFooter>
  </headerFooter>
  <rowBreaks count="1" manualBreakCount="1">
    <brk id="37" max="9" man="1"/>
  </rowBreaks>
  <drawing r:id="rId2"/>
  <legacyDrawing r:id="rId3"/>
  <oleObjects>
    <mc:AlternateContent xmlns:mc="http://schemas.openxmlformats.org/markup-compatibility/2006">
      <mc:Choice Requires="x14">
        <oleObject progId="Equation.3" shapeId="18433" r:id="rId4">
          <objectPr defaultSize="0" autoPict="0" r:id="rId5">
            <anchor moveWithCells="1" sizeWithCells="1">
              <from>
                <xdr:col>6</xdr:col>
                <xdr:colOff>76200</xdr:colOff>
                <xdr:row>53</xdr:row>
                <xdr:rowOff>0</xdr:rowOff>
              </from>
              <to>
                <xdr:col>7</xdr:col>
                <xdr:colOff>1219200</xdr:colOff>
                <xdr:row>54</xdr:row>
                <xdr:rowOff>85725</xdr:rowOff>
              </to>
            </anchor>
          </objectPr>
        </oleObject>
      </mc:Choice>
      <mc:Fallback>
        <oleObject progId="Equation.3" shapeId="18433" r:id="rId4"/>
      </mc:Fallback>
    </mc:AlternateContent>
    <mc:AlternateContent xmlns:mc="http://schemas.openxmlformats.org/markup-compatibility/2006">
      <mc:Choice Requires="x14">
        <oleObject progId="Equation.3" shapeId="18434" r:id="rId6">
          <objectPr defaultSize="0" autoPict="0" r:id="rId7">
            <anchor moveWithCells="1" sizeWithCells="1">
              <from>
                <xdr:col>6</xdr:col>
                <xdr:colOff>95250</xdr:colOff>
                <xdr:row>48</xdr:row>
                <xdr:rowOff>180975</xdr:rowOff>
              </from>
              <to>
                <xdr:col>8</xdr:col>
                <xdr:colOff>38100</xdr:colOff>
                <xdr:row>52</xdr:row>
                <xdr:rowOff>0</xdr:rowOff>
              </to>
            </anchor>
          </objectPr>
        </oleObject>
      </mc:Choice>
      <mc:Fallback>
        <oleObject progId="Equation.3" shapeId="18434" r:id="rId6"/>
      </mc:Fallback>
    </mc:AlternateContent>
    <mc:AlternateContent xmlns:mc="http://schemas.openxmlformats.org/markup-compatibility/2006">
      <mc:Choice Requires="x14">
        <oleObject progId="Equation.3" shapeId="18435" r:id="rId8">
          <objectPr defaultSize="0" autoPict="0" r:id="rId9">
            <anchor moveWithCells="1" sizeWithCells="1">
              <from>
                <xdr:col>6</xdr:col>
                <xdr:colOff>95250</xdr:colOff>
                <xdr:row>46</xdr:row>
                <xdr:rowOff>9525</xdr:rowOff>
              </from>
              <to>
                <xdr:col>7</xdr:col>
                <xdr:colOff>666750</xdr:colOff>
                <xdr:row>47</xdr:row>
                <xdr:rowOff>123825</xdr:rowOff>
              </to>
            </anchor>
          </objectPr>
        </oleObject>
      </mc:Choice>
      <mc:Fallback>
        <oleObject progId="Equation.3" shapeId="18435" r:id="rId8"/>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transitionEntry="1"/>
  <dimension ref="A1:P87"/>
  <sheetViews>
    <sheetView showGridLines="0" zoomScaleNormal="100" workbookViewId="0">
      <selection activeCell="D26" sqref="D26:G26"/>
    </sheetView>
  </sheetViews>
  <sheetFormatPr defaultColWidth="9.75" defaultRowHeight="0" customHeight="1" zeroHeight="1" x14ac:dyDescent="0.2"/>
  <cols>
    <col min="1" max="1" width="24.625" style="62" customWidth="1"/>
    <col min="2" max="2" width="20.25" style="62" customWidth="1"/>
    <col min="3" max="3" width="15.125" style="62" customWidth="1"/>
    <col min="4" max="5" width="9.75" style="62" customWidth="1"/>
    <col min="6" max="6" width="11" style="62" customWidth="1"/>
    <col min="7" max="7" width="12.5" style="62" customWidth="1"/>
    <col min="8" max="8" width="18.25" style="62" customWidth="1"/>
    <col min="9" max="9" width="11.875" style="62" customWidth="1"/>
    <col min="10" max="10" width="11.375" style="62" customWidth="1"/>
    <col min="11" max="16384" width="9.75" style="62"/>
  </cols>
  <sheetData>
    <row r="1" spans="1:10" ht="14.25" thickTop="1" thickBot="1" x14ac:dyDescent="0.25">
      <c r="A1" s="246" t="s">
        <v>81</v>
      </c>
      <c r="B1" s="247"/>
      <c r="C1" s="247"/>
      <c r="D1" s="247"/>
      <c r="E1" s="247"/>
      <c r="F1" s="247"/>
      <c r="G1" s="247"/>
      <c r="H1" s="247"/>
      <c r="I1" s="247"/>
      <c r="J1" s="248"/>
    </row>
    <row r="2" spans="1:10" ht="14.25" thickTop="1" thickBot="1" x14ac:dyDescent="0.25">
      <c r="A2" s="249" t="s">
        <v>83</v>
      </c>
      <c r="B2" s="250"/>
      <c r="C2" s="250"/>
      <c r="D2" s="250"/>
      <c r="E2" s="250"/>
      <c r="F2" s="250"/>
      <c r="G2" s="250"/>
      <c r="H2" s="250"/>
      <c r="I2" s="250"/>
      <c r="J2" s="251"/>
    </row>
    <row r="3" spans="1:10" ht="14.25" thickTop="1" thickBot="1" x14ac:dyDescent="0.25">
      <c r="A3" s="177" t="s">
        <v>144</v>
      </c>
      <c r="B3" s="177"/>
      <c r="C3" s="177"/>
      <c r="D3" s="179"/>
      <c r="E3" s="179"/>
      <c r="F3" s="179"/>
    </row>
    <row r="4" spans="1:10" ht="14.25" thickTop="1" thickBot="1" x14ac:dyDescent="0.25">
      <c r="A4" s="51" t="s">
        <v>121</v>
      </c>
      <c r="B4" s="239">
        <v>321</v>
      </c>
      <c r="C4" s="52" t="s">
        <v>97</v>
      </c>
      <c r="D4" s="336" t="s">
        <v>153</v>
      </c>
      <c r="E4" s="337"/>
      <c r="F4" s="337"/>
      <c r="G4" s="338"/>
      <c r="H4" s="275" t="s">
        <v>146</v>
      </c>
      <c r="I4" s="276"/>
      <c r="J4" s="277"/>
    </row>
    <row r="5" spans="1:10" ht="13.5" thickTop="1" x14ac:dyDescent="0.2">
      <c r="A5" s="53" t="s">
        <v>93</v>
      </c>
      <c r="B5" s="199">
        <v>2000</v>
      </c>
      <c r="C5" s="54" t="s">
        <v>70</v>
      </c>
      <c r="D5" s="255" t="s">
        <v>129</v>
      </c>
      <c r="E5" s="256"/>
      <c r="F5" s="256"/>
      <c r="G5" s="257"/>
      <c r="H5" s="191"/>
      <c r="I5" s="192"/>
      <c r="J5" s="193"/>
    </row>
    <row r="6" spans="1:10" ht="12.75" x14ac:dyDescent="0.2">
      <c r="A6" s="55" t="s">
        <v>71</v>
      </c>
      <c r="B6" s="240" t="s">
        <v>154</v>
      </c>
      <c r="C6" s="127" t="s">
        <v>72</v>
      </c>
      <c r="D6" s="258" t="s">
        <v>168</v>
      </c>
      <c r="E6" s="259"/>
      <c r="F6" s="259"/>
      <c r="G6" s="260"/>
      <c r="H6" s="194"/>
      <c r="I6" s="195"/>
      <c r="J6" s="196"/>
    </row>
    <row r="7" spans="1:10" ht="27" customHeight="1" x14ac:dyDescent="0.2">
      <c r="A7" s="55" t="s">
        <v>77</v>
      </c>
      <c r="B7" s="216">
        <v>2.5000000000000001E-5</v>
      </c>
      <c r="C7" s="128" t="s">
        <v>141</v>
      </c>
      <c r="D7" s="241">
        <v>20</v>
      </c>
      <c r="E7" s="163"/>
      <c r="F7" s="163"/>
      <c r="G7" s="164"/>
      <c r="H7" s="194"/>
      <c r="I7" s="197" t="s">
        <v>162</v>
      </c>
      <c r="J7" s="196"/>
    </row>
    <row r="8" spans="1:10" ht="25.5" x14ac:dyDescent="0.2">
      <c r="A8" s="55" t="s">
        <v>145</v>
      </c>
      <c r="B8" s="216"/>
      <c r="C8" s="54"/>
      <c r="D8" s="181" t="s">
        <v>142</v>
      </c>
      <c r="E8" s="181" t="s">
        <v>143</v>
      </c>
      <c r="F8" s="50" t="s">
        <v>96</v>
      </c>
      <c r="G8" s="198" t="s">
        <v>124</v>
      </c>
      <c r="H8" s="194"/>
      <c r="I8" s="197" t="s">
        <v>163</v>
      </c>
      <c r="J8" s="196"/>
    </row>
    <row r="9" spans="1:10" ht="18.75" customHeight="1" x14ac:dyDescent="0.2">
      <c r="A9" s="55" t="s">
        <v>75</v>
      </c>
      <c r="B9" s="240" t="s">
        <v>155</v>
      </c>
      <c r="C9" s="77" t="s">
        <v>132</v>
      </c>
      <c r="D9" s="119">
        <f>AVERAGE(I24:J24)</f>
        <v>22.524999999999999</v>
      </c>
      <c r="E9" s="119">
        <f>AVERAGE(I29:J29)</f>
        <v>22.5</v>
      </c>
      <c r="F9" s="199">
        <v>0.1</v>
      </c>
      <c r="G9" s="200">
        <f>AVERAGE(D9:E9)</f>
        <v>22.512499999999999</v>
      </c>
      <c r="H9" s="194"/>
      <c r="I9" s="195"/>
      <c r="J9" s="196"/>
    </row>
    <row r="10" spans="1:10" ht="18.75" customHeight="1" x14ac:dyDescent="0.2">
      <c r="A10" s="55" t="s">
        <v>94</v>
      </c>
      <c r="B10" s="240">
        <v>2700</v>
      </c>
      <c r="C10" s="77" t="s">
        <v>133</v>
      </c>
      <c r="D10" s="119">
        <f>AVERAGE(I25:J25)</f>
        <v>747.84999999999991</v>
      </c>
      <c r="E10" s="119">
        <f>AVERAGE(I30:J30)</f>
        <v>747.8</v>
      </c>
      <c r="F10" s="199">
        <v>0.5</v>
      </c>
      <c r="G10" s="200">
        <f>AVERAGE(D10:E10)</f>
        <v>747.82499999999993</v>
      </c>
      <c r="H10" s="194"/>
      <c r="I10" s="195"/>
      <c r="J10" s="196"/>
    </row>
    <row r="11" spans="1:10" ht="27" customHeight="1" x14ac:dyDescent="0.2">
      <c r="A11" s="55" t="s">
        <v>95</v>
      </c>
      <c r="B11" s="216">
        <v>4.2000000000000003E-2</v>
      </c>
      <c r="C11" s="77" t="s">
        <v>134</v>
      </c>
      <c r="D11" s="119">
        <f>AVERAGE(I26:J26)</f>
        <v>45.5</v>
      </c>
      <c r="E11" s="119">
        <f>AVERAGE(I31:J31)</f>
        <v>45</v>
      </c>
      <c r="F11" s="199">
        <v>2</v>
      </c>
      <c r="G11" s="200">
        <f>AVERAGE(D11:E11)</f>
        <v>45.25</v>
      </c>
      <c r="H11" s="194"/>
      <c r="I11" s="195"/>
      <c r="J11" s="196"/>
    </row>
    <row r="12" spans="1:10" ht="26.25" customHeight="1" thickBot="1" x14ac:dyDescent="0.25">
      <c r="A12" s="56" t="s">
        <v>76</v>
      </c>
      <c r="B12" s="217">
        <v>216</v>
      </c>
      <c r="C12" s="261" t="s">
        <v>156</v>
      </c>
      <c r="D12" s="262"/>
      <c r="E12" s="263"/>
      <c r="F12" s="201">
        <v>0.1</v>
      </c>
      <c r="G12" s="131"/>
      <c r="H12" s="194"/>
      <c r="I12" s="195"/>
      <c r="J12" s="196"/>
    </row>
    <row r="13" spans="1:10" ht="14.25" thickTop="1" thickBot="1" x14ac:dyDescent="0.25">
      <c r="A13" s="264" t="s">
        <v>78</v>
      </c>
      <c r="B13" s="264"/>
      <c r="C13" s="264"/>
      <c r="D13" s="265"/>
      <c r="E13" s="265"/>
      <c r="F13" s="265"/>
      <c r="G13" s="202"/>
      <c r="H13" s="194"/>
      <c r="I13" s="195"/>
      <c r="J13" s="196"/>
    </row>
    <row r="14" spans="1:10" ht="39" customHeight="1" thickTop="1" x14ac:dyDescent="0.2">
      <c r="A14" s="266" t="s">
        <v>100</v>
      </c>
      <c r="B14" s="268" t="s">
        <v>102</v>
      </c>
      <c r="C14" s="268" t="s">
        <v>103</v>
      </c>
      <c r="D14" s="270" t="s">
        <v>157</v>
      </c>
      <c r="E14" s="268" t="s">
        <v>101</v>
      </c>
      <c r="F14" s="271" t="s">
        <v>104</v>
      </c>
      <c r="G14" s="273" t="s">
        <v>125</v>
      </c>
      <c r="H14" s="194"/>
      <c r="I14" s="195"/>
      <c r="J14" s="196"/>
    </row>
    <row r="15" spans="1:10" ht="13.5" thickBot="1" x14ac:dyDescent="0.25">
      <c r="A15" s="267"/>
      <c r="B15" s="269"/>
      <c r="C15" s="269"/>
      <c r="D15" s="269"/>
      <c r="E15" s="269"/>
      <c r="F15" s="272"/>
      <c r="G15" s="274"/>
      <c r="H15" s="194"/>
      <c r="I15" s="195"/>
      <c r="J15" s="196"/>
    </row>
    <row r="16" spans="1:10" ht="13.5" thickTop="1" x14ac:dyDescent="0.2">
      <c r="A16" s="57" t="s">
        <v>79</v>
      </c>
      <c r="B16" s="203">
        <v>2000</v>
      </c>
      <c r="C16" s="203">
        <v>1.2300000000000001E-4</v>
      </c>
      <c r="D16" s="203">
        <v>2E-3</v>
      </c>
      <c r="E16" s="203">
        <v>2</v>
      </c>
      <c r="F16" s="204">
        <v>7.95</v>
      </c>
      <c r="G16" s="205">
        <f>IF(ISNUMBER(B16),B16/F16,"")</f>
        <v>251.57232704402514</v>
      </c>
      <c r="H16" s="194"/>
      <c r="I16" s="195"/>
      <c r="J16" s="196"/>
    </row>
    <row r="17" spans="1:16" ht="12.75" x14ac:dyDescent="0.2">
      <c r="A17" s="58" t="s">
        <v>79</v>
      </c>
      <c r="B17" s="206"/>
      <c r="C17" s="206"/>
      <c r="D17" s="206"/>
      <c r="E17" s="206"/>
      <c r="F17" s="207"/>
      <c r="G17" s="205" t="str">
        <f>IF(ISNUMBER(B17),B17/F17,"")</f>
        <v/>
      </c>
      <c r="H17" s="194"/>
      <c r="I17" s="195"/>
      <c r="J17" s="196"/>
    </row>
    <row r="18" spans="1:16" ht="12.75" x14ac:dyDescent="0.2">
      <c r="A18" s="58" t="s">
        <v>79</v>
      </c>
      <c r="B18" s="206"/>
      <c r="C18" s="206"/>
      <c r="D18" s="206"/>
      <c r="E18" s="206"/>
      <c r="F18" s="207"/>
      <c r="G18" s="205" t="str">
        <f>IF(ISNUMBER(B18),B18/F18,"")</f>
        <v/>
      </c>
      <c r="H18" s="194"/>
      <c r="I18" s="195"/>
      <c r="J18" s="196"/>
    </row>
    <row r="19" spans="1:16" ht="13.5" thickBot="1" x14ac:dyDescent="0.25">
      <c r="A19" s="85" t="s">
        <v>79</v>
      </c>
      <c r="B19" s="208"/>
      <c r="C19" s="208"/>
      <c r="D19" s="208"/>
      <c r="E19" s="208"/>
      <c r="F19" s="209"/>
      <c r="G19" s="210" t="str">
        <f>IF(ISNUMBER(B19),B19/F19,"")</f>
        <v/>
      </c>
      <c r="H19" s="194"/>
      <c r="I19" s="195"/>
      <c r="J19" s="196"/>
    </row>
    <row r="20" spans="1:16" ht="20.25" customHeight="1" thickTop="1" thickBot="1" x14ac:dyDescent="0.25">
      <c r="A20" s="88" t="s">
        <v>123</v>
      </c>
      <c r="B20" s="104">
        <f>SUM(B16:B19)</f>
        <v>2000</v>
      </c>
      <c r="C20" s="104">
        <f>SUM(C16:C19)</f>
        <v>1.2300000000000001E-4</v>
      </c>
      <c r="D20" s="104">
        <f>SUM(D16:D19)</f>
        <v>2E-3</v>
      </c>
      <c r="E20" s="104">
        <f>AVERAGE(E16:E19)</f>
        <v>2</v>
      </c>
      <c r="F20" s="105">
        <f>ROUND(B20/G20,6)</f>
        <v>7.95</v>
      </c>
      <c r="G20" s="134">
        <f>SUM(G16:G19)</f>
        <v>251.57232704402514</v>
      </c>
      <c r="H20" s="211"/>
      <c r="I20" s="212"/>
      <c r="J20" s="213"/>
    </row>
    <row r="21" spans="1:16" ht="13.5" thickTop="1" x14ac:dyDescent="0.2">
      <c r="A21" s="245" t="s">
        <v>86</v>
      </c>
      <c r="B21" s="245"/>
      <c r="C21" s="245"/>
      <c r="D21" s="245"/>
      <c r="E21" s="245"/>
      <c r="F21" s="245"/>
    </row>
    <row r="22" spans="1:16" ht="13.5" thickBot="1" x14ac:dyDescent="0.25">
      <c r="A22" s="282" t="s">
        <v>138</v>
      </c>
      <c r="B22" s="282"/>
      <c r="C22" s="282"/>
      <c r="D22" s="282"/>
      <c r="E22" s="282"/>
      <c r="F22" s="282"/>
    </row>
    <row r="23" spans="1:16" ht="39" thickTop="1" x14ac:dyDescent="0.2">
      <c r="A23" s="59" t="s">
        <v>40</v>
      </c>
      <c r="B23" s="180" t="s">
        <v>120</v>
      </c>
      <c r="C23" s="180" t="s">
        <v>82</v>
      </c>
      <c r="D23" s="283" t="s">
        <v>131</v>
      </c>
      <c r="E23" s="283"/>
      <c r="F23" s="283"/>
      <c r="G23" s="283"/>
      <c r="H23" s="52"/>
      <c r="I23" s="180" t="s">
        <v>73</v>
      </c>
      <c r="J23" s="120" t="s">
        <v>74</v>
      </c>
      <c r="L23" s="162"/>
      <c r="M23" s="162"/>
      <c r="N23" s="162"/>
      <c r="O23" s="162"/>
      <c r="P23" s="162"/>
    </row>
    <row r="24" spans="1:16" ht="20.100000000000001" customHeight="1" x14ac:dyDescent="0.2">
      <c r="A24" s="286"/>
      <c r="B24" s="287"/>
      <c r="C24" s="287"/>
      <c r="D24" s="287"/>
      <c r="E24" s="287"/>
      <c r="F24" s="287"/>
      <c r="G24" s="288"/>
      <c r="H24" s="54" t="s">
        <v>132</v>
      </c>
      <c r="I24" s="214">
        <v>22.5</v>
      </c>
      <c r="J24" s="215">
        <v>22.55</v>
      </c>
      <c r="L24" s="162"/>
      <c r="M24" s="162"/>
      <c r="N24" s="162"/>
      <c r="O24" s="162"/>
      <c r="P24" s="162"/>
    </row>
    <row r="25" spans="1:16" ht="20.100000000000001" customHeight="1" x14ac:dyDescent="0.2">
      <c r="A25" s="60">
        <v>1</v>
      </c>
      <c r="B25" s="61" t="s">
        <v>90</v>
      </c>
      <c r="C25" s="121" t="s">
        <v>89</v>
      </c>
      <c r="D25" s="284">
        <v>2000.0029999999999</v>
      </c>
      <c r="E25" s="284"/>
      <c r="F25" s="284"/>
      <c r="G25" s="284"/>
      <c r="H25" s="54" t="s">
        <v>133</v>
      </c>
      <c r="I25" s="214">
        <v>747.8</v>
      </c>
      <c r="J25" s="215">
        <v>747.9</v>
      </c>
      <c r="L25" s="335"/>
      <c r="M25" s="335"/>
      <c r="N25" s="335"/>
      <c r="O25" s="335"/>
      <c r="P25" s="162"/>
    </row>
    <row r="26" spans="1:16" ht="20.100000000000001" customHeight="1" x14ac:dyDescent="0.2">
      <c r="A26" s="60">
        <v>2</v>
      </c>
      <c r="B26" s="159" t="s">
        <v>166</v>
      </c>
      <c r="C26" s="121" t="s">
        <v>91</v>
      </c>
      <c r="D26" s="284">
        <v>654.72900000000004</v>
      </c>
      <c r="E26" s="284"/>
      <c r="F26" s="284"/>
      <c r="G26" s="284"/>
      <c r="H26" s="54" t="s">
        <v>134</v>
      </c>
      <c r="I26" s="214">
        <v>45</v>
      </c>
      <c r="J26" s="215">
        <v>46</v>
      </c>
      <c r="L26" s="335"/>
      <c r="M26" s="335"/>
      <c r="N26" s="335"/>
      <c r="O26" s="335"/>
      <c r="P26" s="162"/>
    </row>
    <row r="27" spans="1:16" ht="20.100000000000001" customHeight="1" thickBot="1" x14ac:dyDescent="0.25">
      <c r="A27" s="123">
        <v>3</v>
      </c>
      <c r="B27" s="124" t="s">
        <v>80</v>
      </c>
      <c r="C27" s="125" t="s">
        <v>92</v>
      </c>
      <c r="D27" s="285">
        <v>2648.7469999999998</v>
      </c>
      <c r="E27" s="285"/>
      <c r="F27" s="285"/>
      <c r="G27" s="285"/>
      <c r="H27" s="124" t="s">
        <v>98</v>
      </c>
      <c r="I27" s="217">
        <v>22.8</v>
      </c>
      <c r="J27" s="126"/>
      <c r="K27" s="161"/>
      <c r="L27" s="335"/>
      <c r="M27" s="335"/>
      <c r="N27" s="335"/>
      <c r="O27" s="335"/>
      <c r="P27" s="162"/>
    </row>
    <row r="28" spans="1:16" ht="39" thickTop="1" x14ac:dyDescent="0.2">
      <c r="A28" s="59" t="s">
        <v>41</v>
      </c>
      <c r="B28" s="180" t="s">
        <v>120</v>
      </c>
      <c r="C28" s="180" t="s">
        <v>82</v>
      </c>
      <c r="D28" s="283" t="s">
        <v>131</v>
      </c>
      <c r="E28" s="283"/>
      <c r="F28" s="283"/>
      <c r="G28" s="283"/>
      <c r="H28" s="52"/>
      <c r="I28" s="180" t="s">
        <v>73</v>
      </c>
      <c r="J28" s="120" t="s">
        <v>74</v>
      </c>
      <c r="L28" s="162"/>
      <c r="M28" s="335"/>
      <c r="N28" s="335"/>
      <c r="O28" s="335"/>
      <c r="P28" s="335"/>
    </row>
    <row r="29" spans="1:16" ht="20.100000000000001" customHeight="1" x14ac:dyDescent="0.2">
      <c r="A29" s="286"/>
      <c r="B29" s="287"/>
      <c r="C29" s="287"/>
      <c r="D29" s="287"/>
      <c r="E29" s="287"/>
      <c r="F29" s="287"/>
      <c r="G29" s="288"/>
      <c r="H29" s="54" t="s">
        <v>132</v>
      </c>
      <c r="I29" s="214">
        <v>22.5</v>
      </c>
      <c r="J29" s="214">
        <v>22.5</v>
      </c>
      <c r="L29" s="162"/>
      <c r="M29" s="335"/>
      <c r="N29" s="335"/>
      <c r="O29" s="335"/>
      <c r="P29" s="335"/>
    </row>
    <row r="30" spans="1:16" ht="20.100000000000001" customHeight="1" x14ac:dyDescent="0.2">
      <c r="A30" s="60">
        <v>1</v>
      </c>
      <c r="B30" s="61" t="s">
        <v>90</v>
      </c>
      <c r="C30" s="121" t="s">
        <v>89</v>
      </c>
      <c r="D30" s="284">
        <v>1999.998</v>
      </c>
      <c r="E30" s="284"/>
      <c r="F30" s="284"/>
      <c r="G30" s="284"/>
      <c r="H30" s="54" t="s">
        <v>133</v>
      </c>
      <c r="I30" s="214">
        <v>747.8</v>
      </c>
      <c r="J30" s="214">
        <v>747.8</v>
      </c>
      <c r="L30" s="335"/>
      <c r="M30" s="335"/>
      <c r="N30" s="335"/>
      <c r="O30" s="335"/>
      <c r="P30" s="162"/>
    </row>
    <row r="31" spans="1:16" ht="20.100000000000001" customHeight="1" x14ac:dyDescent="0.2">
      <c r="A31" s="60">
        <v>2</v>
      </c>
      <c r="B31" s="159" t="s">
        <v>166</v>
      </c>
      <c r="C31" s="121" t="s">
        <v>91</v>
      </c>
      <c r="D31" s="284">
        <v>667.351</v>
      </c>
      <c r="E31" s="284"/>
      <c r="F31" s="284"/>
      <c r="G31" s="284"/>
      <c r="H31" s="54" t="s">
        <v>134</v>
      </c>
      <c r="I31" s="214">
        <v>45</v>
      </c>
      <c r="J31" s="214">
        <v>45</v>
      </c>
      <c r="L31" s="335"/>
      <c r="M31" s="335"/>
      <c r="N31" s="335"/>
      <c r="O31" s="335"/>
      <c r="P31" s="162"/>
    </row>
    <row r="32" spans="1:16" ht="20.100000000000001" customHeight="1" thickBot="1" x14ac:dyDescent="0.25">
      <c r="A32" s="123">
        <v>3</v>
      </c>
      <c r="B32" s="124" t="s">
        <v>80</v>
      </c>
      <c r="C32" s="125" t="s">
        <v>92</v>
      </c>
      <c r="D32" s="285">
        <v>2661.3649999999998</v>
      </c>
      <c r="E32" s="285"/>
      <c r="F32" s="285"/>
      <c r="G32" s="285"/>
      <c r="H32" s="124" t="s">
        <v>98</v>
      </c>
      <c r="I32" s="217">
        <v>22.6</v>
      </c>
      <c r="J32" s="126"/>
      <c r="L32" s="162"/>
      <c r="M32" s="162"/>
      <c r="N32" s="162"/>
      <c r="O32" s="162"/>
      <c r="P32" s="162"/>
    </row>
    <row r="33" spans="1:10" ht="13.5" thickTop="1" x14ac:dyDescent="0.2">
      <c r="A33" s="218"/>
      <c r="I33" s="162"/>
      <c r="J33" s="162"/>
    </row>
    <row r="34" spans="1:10" ht="13.5" thickBot="1" x14ac:dyDescent="0.25">
      <c r="A34" s="218"/>
      <c r="I34" s="162"/>
      <c r="J34" s="162"/>
    </row>
    <row r="35" spans="1:10" ht="15.75" thickTop="1" x14ac:dyDescent="0.25">
      <c r="A35" s="278" t="s">
        <v>114</v>
      </c>
      <c r="B35" s="279"/>
      <c r="C35" s="178" t="str">
        <f>FIXED((AVERAGE(C54:C55)),(2-1-INT(LOG10(ABS(F75)))))</f>
        <v>2,000.71</v>
      </c>
      <c r="D35" s="280" t="s">
        <v>39</v>
      </c>
      <c r="E35" s="280"/>
      <c r="F35" s="280"/>
      <c r="G35" s="281"/>
      <c r="I35" s="162"/>
      <c r="J35" s="162"/>
    </row>
    <row r="36" spans="1:10" ht="15.75" thickBot="1" x14ac:dyDescent="0.3">
      <c r="A36" s="326" t="s">
        <v>113</v>
      </c>
      <c r="B36" s="327"/>
      <c r="C36" s="173" t="str">
        <f>FIXED(F75,2-1-INT(LOG10(ABS(F75))))</f>
        <v>0.10</v>
      </c>
      <c r="D36" s="328" t="s">
        <v>39</v>
      </c>
      <c r="E36" s="328"/>
      <c r="F36" s="328"/>
      <c r="G36" s="329"/>
    </row>
    <row r="37" spans="1:10" ht="13.5" thickTop="1" x14ac:dyDescent="0.2">
      <c r="A37" s="218"/>
      <c r="I37" s="162"/>
      <c r="J37" s="162"/>
    </row>
    <row r="38" spans="1:10" ht="13.5" thickBot="1" x14ac:dyDescent="0.25">
      <c r="A38" s="330" t="s">
        <v>99</v>
      </c>
      <c r="B38" s="330"/>
      <c r="C38" s="330"/>
      <c r="D38" s="330"/>
      <c r="E38" s="330"/>
      <c r="F38" s="330"/>
      <c r="I38" s="162"/>
      <c r="J38" s="162"/>
    </row>
    <row r="39" spans="1:10" ht="16.5" thickTop="1" x14ac:dyDescent="0.2">
      <c r="A39" s="305" t="s">
        <v>0</v>
      </c>
      <c r="B39" s="306"/>
      <c r="C39" s="331"/>
      <c r="D39" s="332" t="s">
        <v>64</v>
      </c>
      <c r="E39" s="333"/>
      <c r="F39" s="334"/>
      <c r="I39" s="75"/>
      <c r="J39" s="76"/>
    </row>
    <row r="40" spans="1:10" ht="18.75" x14ac:dyDescent="0.3">
      <c r="A40" s="63" t="s">
        <v>139</v>
      </c>
      <c r="B40" s="64"/>
      <c r="C40" s="96">
        <f>(ROUND(((((D10*(133.322368421053))*(0.02896546))/((1-(((D10*133.322368421053)/(D9+273.15))*((0.00000158123)+((-0.000000029331)*(D9))+(0.00000000011043*D9^2)+(((0.000005707)+(-0.00000002051*D9))*((D11/100)*((1.00062+0.0000000314*(D10*133.322368421053)+0.00000056*D9^2)*((EXP(0.000012378847*(D9+273.15)^2+(-0.019121316*(D9+273.15))+33.93711047+(-6343.1645/(D9+273.15))))/(D10*133.322368421053)))))+((0.00019898+(-0.000002376*D9))*(((D11/100)*((1.00062+0.0000000314*(D10*133.322368421053)+0.00000056*D9^2)*((EXP(0.000012378847*(D9+273.15)^2+(-0.019121316)*(D9+273.15)+33.93711047+(-6343.1645)/(D9+273.15)))/(D10*133.322368421053))))^2))))+(((D10*133.322368421053)^2/((D9+273.15)^2)*(0.0000000000183+(-0.00000000765*(((D11/100)*((1.00062+0.0000000314*(D10*133.322368421053)+0.00000056*D9^2)*((EXP(0.000012378847*(D9+273.15)^2+(-0.019121316)*(D9+273.15)+33.93711047+(-6343.1645)/(D9+273.15)))/(D10*133.322368421053))))^2))))))*(8.314472)*(D9+273.15)))*(1-((0.378*((D11/100)*((1.00062+0.0000000314*(D10*133.322368421053)+0.00000056*D9^2)*((EXP(0.000012378847*(D9+273.15)^2+(-0.019121316)*(D9+273.15)+33.93711047+(-6343.1645)/(D9+273.15)))/(D10*133.322368421053)))))))),9))/1000</f>
        <v>1.1696197370000001E-3</v>
      </c>
      <c r="D40" s="289" t="s">
        <v>116</v>
      </c>
      <c r="E40" s="289"/>
      <c r="F40" s="290"/>
      <c r="I40" s="73"/>
      <c r="J40" s="73"/>
    </row>
    <row r="41" spans="1:10" ht="17.25" customHeight="1" x14ac:dyDescent="0.3">
      <c r="A41" s="63" t="s">
        <v>140</v>
      </c>
      <c r="B41" s="64"/>
      <c r="C41" s="96">
        <f>(ROUND(((((E10*(133.322368421053))*(0.02896546))/((1-(((E10*133.322368421053)/(E9+273.15))*((0.00000158123)+((-0.000000029331)*(E9))+(0.00000000011043*E9^2)+(((0.000005707)+(-0.00000002051*E9))*((E11/100)*((1.00062+0.0000000314*(E10*133.322368421053)+0.00000056*E9^2)*((EXP(0.000012378847*(E9+273.15)^2+(-0.019121316*(E9+273.15))+33.93711047+(-6343.1645/(E9+273.15))))/(E10*133.322368421053)))))+((0.00019898+(-0.000002376*E9))*(((E11/100)*((1.00062+0.0000000314*(E10*133.322368421053)+0.00000056*E9^2)*((EXP(0.000012378847*(E9+273.15)^2+(-0.019121316)*(E9+273.15)+33.93711047+(-6343.1645)/(E9+273.15)))/(E10*133.322368421053))))^2))))+(((E10*133.322368421053)^2/((E9+273.15)^2)*(0.0000000000183+(-0.00000000765*(((E11/100)*((1.00062+0.0000000314*(E10*133.322368421053)+0.00000056*E9^2)*((EXP(0.000012378847*(E9+273.15)^2+(-0.019121316)*(E9+273.15)+33.93711047+(-6343.1645)/(E9+273.15)))/(E10*133.322368421053))))^2))))))*(8.314472)*(E9+273.15)))*(1-((0.378*((E11/100)*((1.00062+0.0000000314*(E10*133.322368421053)+0.00000056*E9^2)*((EXP(0.000012378847*(E9+273.15)^2+(-0.019121316)*(E9+273.15)+33.93711047+(-6343.1645)/(E9+273.15)))/(E10*133.322368421053)))))))),9))/1000</f>
        <v>1.1697092079999999E-3</v>
      </c>
      <c r="D41" s="289" t="s">
        <v>116</v>
      </c>
      <c r="E41" s="289"/>
      <c r="F41" s="290"/>
      <c r="I41" s="73"/>
      <c r="J41" s="73"/>
    </row>
    <row r="42" spans="1:10" ht="12.75" x14ac:dyDescent="0.2">
      <c r="A42" s="274"/>
      <c r="B42" s="291"/>
      <c r="C42" s="291"/>
      <c r="D42" s="291"/>
      <c r="E42" s="291"/>
      <c r="F42" s="292"/>
      <c r="H42" s="162"/>
      <c r="I42" s="162"/>
      <c r="J42" s="162"/>
    </row>
    <row r="43" spans="1:10" ht="12.75" x14ac:dyDescent="0.2">
      <c r="A43" s="293" t="s">
        <v>1</v>
      </c>
      <c r="B43" s="294"/>
      <c r="C43" s="295"/>
      <c r="D43" s="296" t="s">
        <v>59</v>
      </c>
      <c r="E43" s="289"/>
      <c r="F43" s="290"/>
      <c r="H43" s="162"/>
      <c r="I43" s="162"/>
      <c r="J43" s="162"/>
    </row>
    <row r="44" spans="1:10" ht="18" x14ac:dyDescent="0.2">
      <c r="A44" s="63" t="s">
        <v>85</v>
      </c>
      <c r="B44" s="49"/>
      <c r="C44" s="219">
        <f>ROUND(((999.97495*(1-(((I27-3.983035)^2*(I27+301.797))/(522528.9*(I27+69.34881)))))/1000)+(-4.612+0.106*I27)/1000000,8)</f>
        <v>0.99758586000000005</v>
      </c>
      <c r="D44" s="289" t="s">
        <v>122</v>
      </c>
      <c r="E44" s="289"/>
      <c r="F44" s="290"/>
      <c r="H44" s="220"/>
      <c r="I44" s="162"/>
      <c r="J44" s="162"/>
    </row>
    <row r="45" spans="1:10" ht="18" x14ac:dyDescent="0.2">
      <c r="A45" s="63" t="s">
        <v>87</v>
      </c>
      <c r="B45" s="49"/>
      <c r="C45" s="221">
        <f>ROUND(((999.97495*(1-(((I32-3.983035)^2*(I32+301.797))/(522528.9*(I32+69.34881)))))/1000)+(-4.612+0.106*I32)/1000000,8)</f>
        <v>0.99763267</v>
      </c>
      <c r="D45" s="289" t="s">
        <v>122</v>
      </c>
      <c r="E45" s="289"/>
      <c r="F45" s="290"/>
      <c r="H45" s="222"/>
      <c r="I45" s="162"/>
      <c r="J45" s="162"/>
    </row>
    <row r="46" spans="1:10" ht="12.75" x14ac:dyDescent="0.2">
      <c r="A46" s="293" t="s">
        <v>2</v>
      </c>
      <c r="B46" s="294"/>
      <c r="C46" s="295"/>
      <c r="D46" s="296" t="s">
        <v>58</v>
      </c>
      <c r="E46" s="289"/>
      <c r="F46" s="290"/>
      <c r="H46" s="223"/>
      <c r="I46" s="223"/>
      <c r="J46" s="162"/>
    </row>
    <row r="47" spans="1:10" ht="12.75" x14ac:dyDescent="0.2">
      <c r="A47" s="63" t="s">
        <v>42</v>
      </c>
      <c r="B47" s="49"/>
      <c r="C47" s="93">
        <f>ROUND((1-B7*(I27-D7)),6)</f>
        <v>0.99992999999999999</v>
      </c>
      <c r="D47" s="296" t="s">
        <v>115</v>
      </c>
      <c r="E47" s="289"/>
      <c r="F47" s="290"/>
      <c r="H47" s="223"/>
      <c r="I47" s="223"/>
      <c r="J47" s="162"/>
    </row>
    <row r="48" spans="1:10" ht="12.75" x14ac:dyDescent="0.2">
      <c r="A48" s="63" t="s">
        <v>43</v>
      </c>
      <c r="B48" s="49"/>
      <c r="C48" s="84">
        <f>ROUND((1-B7*(I32-D7)),6)</f>
        <v>0.99993500000000002</v>
      </c>
      <c r="D48" s="296" t="s">
        <v>115</v>
      </c>
      <c r="E48" s="289"/>
      <c r="F48" s="290"/>
      <c r="H48" s="223"/>
      <c r="I48" s="224"/>
      <c r="J48" s="162"/>
    </row>
    <row r="49" spans="1:10" ht="26.25" customHeight="1" x14ac:dyDescent="0.2">
      <c r="A49" s="293" t="s">
        <v>105</v>
      </c>
      <c r="B49" s="294"/>
      <c r="C49" s="295"/>
      <c r="D49" s="313"/>
      <c r="E49" s="314"/>
      <c r="F49" s="315"/>
      <c r="G49" s="340" t="s">
        <v>127</v>
      </c>
      <c r="H49" s="300"/>
      <c r="I49" s="223"/>
      <c r="J49" s="162"/>
    </row>
    <row r="50" spans="1:10" ht="12.75" x14ac:dyDescent="0.2">
      <c r="A50" s="63" t="s">
        <v>106</v>
      </c>
      <c r="B50" s="49"/>
      <c r="C50" s="91">
        <f>(D27-D26)*(B20+C20)/D25*(1-C40/F20)*(1/(C44-C40))</f>
        <v>2000.8924860858003</v>
      </c>
      <c r="D50" s="184" t="s">
        <v>39</v>
      </c>
      <c r="E50" s="185"/>
      <c r="F50" s="186"/>
      <c r="H50" s="223"/>
      <c r="I50" s="225"/>
      <c r="J50" s="162"/>
    </row>
    <row r="51" spans="1:10" ht="12.75" x14ac:dyDescent="0.2">
      <c r="A51" s="63" t="s">
        <v>107</v>
      </c>
      <c r="B51" s="49"/>
      <c r="C51" s="83">
        <f>(D32-D31)*(B20+C20)/D30*(1-C41/F20)*(1/(C45-C41))</f>
        <v>2000.7996373734054</v>
      </c>
      <c r="D51" s="184" t="s">
        <v>39</v>
      </c>
      <c r="E51" s="185"/>
      <c r="F51" s="186"/>
      <c r="H51" s="223"/>
      <c r="I51" s="223"/>
      <c r="J51" s="162"/>
    </row>
    <row r="52" spans="1:10" ht="12.75" x14ac:dyDescent="0.2">
      <c r="A52" s="183"/>
      <c r="B52" s="182"/>
      <c r="C52" s="160"/>
      <c r="D52" s="184"/>
      <c r="E52" s="185"/>
      <c r="F52" s="186"/>
      <c r="H52" s="223"/>
      <c r="I52" s="223"/>
      <c r="J52" s="162"/>
    </row>
    <row r="53" spans="1:10" ht="12.75" x14ac:dyDescent="0.2">
      <c r="A53" s="293" t="s">
        <v>108</v>
      </c>
      <c r="B53" s="294"/>
      <c r="C53" s="295"/>
      <c r="D53" s="184"/>
      <c r="E53" s="185"/>
      <c r="F53" s="186"/>
      <c r="H53" s="223"/>
      <c r="I53" s="223"/>
      <c r="J53" s="162"/>
    </row>
    <row r="54" spans="1:10" ht="14.25" x14ac:dyDescent="0.25">
      <c r="A54" s="301" t="s">
        <v>109</v>
      </c>
      <c r="B54" s="302"/>
      <c r="C54" s="91">
        <f>C50*C47</f>
        <v>2000.7524236117742</v>
      </c>
      <c r="D54" s="187" t="s">
        <v>159</v>
      </c>
      <c r="E54" s="185"/>
      <c r="F54" s="186"/>
      <c r="H54" s="223"/>
      <c r="I54" s="223"/>
      <c r="J54" s="162"/>
    </row>
    <row r="55" spans="1:10" ht="15" thickBot="1" x14ac:dyDescent="0.3">
      <c r="A55" s="303" t="s">
        <v>110</v>
      </c>
      <c r="B55" s="304"/>
      <c r="C55" s="152">
        <f>C51*C48</f>
        <v>2000.6695853969761</v>
      </c>
      <c r="D55" s="153" t="s">
        <v>160</v>
      </c>
      <c r="E55" s="150"/>
      <c r="F55" s="151"/>
      <c r="H55" s="223"/>
      <c r="I55" s="223"/>
      <c r="J55" s="162"/>
    </row>
    <row r="56" spans="1:10" ht="13.5" thickTop="1" x14ac:dyDescent="0.2">
      <c r="A56" s="305" t="s">
        <v>150</v>
      </c>
      <c r="B56" s="306"/>
      <c r="C56" s="312"/>
      <c r="D56" s="316"/>
      <c r="E56" s="317"/>
      <c r="F56" s="318"/>
      <c r="H56" s="223"/>
      <c r="I56" s="223"/>
      <c r="J56" s="162"/>
    </row>
    <row r="57" spans="1:10" ht="15" x14ac:dyDescent="0.3">
      <c r="A57" s="154" t="s">
        <v>158</v>
      </c>
      <c r="B57" s="49"/>
      <c r="C57" s="83">
        <f>STDEV(C54:C55)</f>
        <v>5.8575463425145628E-2</v>
      </c>
      <c r="D57" s="319" t="s">
        <v>161</v>
      </c>
      <c r="E57" s="320"/>
      <c r="F57" s="321"/>
      <c r="H57" s="223"/>
      <c r="I57" s="223"/>
      <c r="J57" s="162"/>
    </row>
    <row r="58" spans="1:10" ht="12.75" x14ac:dyDescent="0.2">
      <c r="A58" s="226" t="s">
        <v>151</v>
      </c>
      <c r="B58" s="227"/>
      <c r="C58" s="228">
        <f>B11</f>
        <v>4.2000000000000003E-2</v>
      </c>
      <c r="D58" s="310" t="str">
        <f>IF(C58=0,"Incomplete",IF(C57&lt;(C58*3),"Difference is less than Control Limits, Pass", "Fail"))</f>
        <v>Difference is less than Control Limits, Pass</v>
      </c>
      <c r="E58" s="310"/>
      <c r="F58" s="311"/>
      <c r="H58" s="162"/>
      <c r="I58" s="162"/>
      <c r="J58" s="162"/>
    </row>
    <row r="59" spans="1:10" ht="13.5" thickBot="1" x14ac:dyDescent="0.25">
      <c r="A59" s="229"/>
      <c r="B59" s="230"/>
      <c r="C59" s="230"/>
      <c r="D59" s="322"/>
      <c r="E59" s="323"/>
      <c r="F59" s="324"/>
      <c r="H59" s="162"/>
      <c r="I59" s="162"/>
      <c r="J59" s="162"/>
    </row>
    <row r="60" spans="1:10" ht="14.25" thickTop="1" thickBot="1" x14ac:dyDescent="0.25"/>
    <row r="61" spans="1:10" ht="13.5" thickTop="1" x14ac:dyDescent="0.2">
      <c r="A61" s="305" t="s">
        <v>117</v>
      </c>
      <c r="B61" s="306"/>
      <c r="C61" s="306"/>
      <c r="D61" s="306"/>
      <c r="E61" s="306"/>
      <c r="F61" s="307"/>
    </row>
    <row r="62" spans="1:10" ht="13.5" thickBot="1" x14ac:dyDescent="0.25">
      <c r="A62" s="116" t="s">
        <v>118</v>
      </c>
      <c r="B62" s="117" t="s">
        <v>46</v>
      </c>
      <c r="C62" s="117" t="s">
        <v>47</v>
      </c>
      <c r="D62" s="117" t="s">
        <v>49</v>
      </c>
      <c r="E62" s="117" t="s">
        <v>48</v>
      </c>
      <c r="F62" s="118" t="s">
        <v>119</v>
      </c>
    </row>
    <row r="63" spans="1:10" ht="13.5" thickTop="1" x14ac:dyDescent="0.2">
      <c r="A63" s="110" t="s">
        <v>45</v>
      </c>
      <c r="B63" s="111">
        <f>D20/E20</f>
        <v>1E-3</v>
      </c>
      <c r="C63" s="112" t="s">
        <v>44</v>
      </c>
      <c r="D63" s="113">
        <f>B63</f>
        <v>1E-3</v>
      </c>
      <c r="E63" s="114" t="s">
        <v>50</v>
      </c>
      <c r="F63" s="115">
        <f>D63</f>
        <v>1E-3</v>
      </c>
    </row>
    <row r="64" spans="1:10" ht="12.75" x14ac:dyDescent="0.2">
      <c r="A64" s="110" t="s">
        <v>167</v>
      </c>
      <c r="B64" s="111">
        <f>C58/4</f>
        <v>1.0500000000000001E-2</v>
      </c>
      <c r="C64" s="235" t="s">
        <v>39</v>
      </c>
      <c r="D64" s="113">
        <f>B64</f>
        <v>1.0500000000000001E-2</v>
      </c>
      <c r="E64" s="236" t="s">
        <v>56</v>
      </c>
      <c r="F64" s="67">
        <f>ABS(D64/3^0.5)</f>
        <v>6.0621778264910711E-3</v>
      </c>
    </row>
    <row r="65" spans="1:8" ht="18.75" customHeight="1" x14ac:dyDescent="0.2">
      <c r="A65" s="65" t="s">
        <v>128</v>
      </c>
      <c r="B65" s="103">
        <f>B11</f>
        <v>4.2000000000000003E-2</v>
      </c>
      <c r="C65" s="66" t="s">
        <v>39</v>
      </c>
      <c r="D65" s="97">
        <f>B65</f>
        <v>4.2000000000000003E-2</v>
      </c>
      <c r="E65" s="50" t="s">
        <v>50</v>
      </c>
      <c r="F65" s="98">
        <f>D65</f>
        <v>4.2000000000000003E-2</v>
      </c>
      <c r="G65" s="339" t="s">
        <v>126</v>
      </c>
      <c r="H65" s="309"/>
    </row>
    <row r="66" spans="1:8" ht="12.75" x14ac:dyDescent="0.2">
      <c r="A66" s="65" t="s">
        <v>51</v>
      </c>
      <c r="B66" s="91">
        <f>F12</f>
        <v>0.1</v>
      </c>
      <c r="C66" s="66" t="s">
        <v>12</v>
      </c>
      <c r="D66" s="93">
        <f>(C50*C47)-(C50*G66)+(D26-D27)*(B20+C20)/D25*(1-C40/F20)*(1/(C44-C40))-(D26-D27)*(B20+C20)/D25*(1-C40/F20)*(1/(H66-C40))</f>
        <v>5.1112661981278507E-2</v>
      </c>
      <c r="E66" s="50" t="s">
        <v>56</v>
      </c>
      <c r="F66" s="98">
        <f>ABS(D66/3^0.5)</f>
        <v>2.9509909153889499E-2</v>
      </c>
      <c r="G66" s="95">
        <f>ROUND((1-B7*(I27+B66-D7)),6)</f>
        <v>0.99992800000000004</v>
      </c>
      <c r="H66" s="219">
        <f>ROUND(((999.97495*(1-(((I27+B66-3.983035)^2*(I27+B66+301.797))/(522528.9*(I27+B66+69.34881)))))/1000)+(-4.612+0.106*I27+B66)/1000000,8)</f>
        <v>0.99756239999999996</v>
      </c>
    </row>
    <row r="67" spans="1:8" ht="12.75" x14ac:dyDescent="0.2">
      <c r="A67" s="65" t="s">
        <v>60</v>
      </c>
      <c r="B67" s="91">
        <v>9.9999999999999995E-7</v>
      </c>
      <c r="C67" s="68" t="s">
        <v>111</v>
      </c>
      <c r="D67" s="93">
        <f>(C50*C47)-(C50*G67)</f>
        <v>6.0026774581274367E-3</v>
      </c>
      <c r="E67" s="50" t="s">
        <v>56</v>
      </c>
      <c r="F67" s="98">
        <f>ABS(D67/(3^0.5))</f>
        <v>3.4656474463083745E-3</v>
      </c>
      <c r="G67" s="95">
        <f>ROUND((1-(B7+B67)*(I27-D7)),6)</f>
        <v>0.99992700000000001</v>
      </c>
      <c r="H67" s="231"/>
    </row>
    <row r="68" spans="1:8" ht="15.75" x14ac:dyDescent="0.2">
      <c r="A68" s="65" t="s">
        <v>24</v>
      </c>
      <c r="B68" s="91">
        <v>3.9999999999999998E-6</v>
      </c>
      <c r="C68" s="66" t="s">
        <v>84</v>
      </c>
      <c r="D68" s="93">
        <f>(D26-D27)*(B20+C20)/D25*(1-C40/F20)*(1/(C44-C40))-(D26-D27)*(B20+C20)/D25*(1-C40/F20)*(1/(G68-C40))</f>
        <v>-8.0323237332322606E-3</v>
      </c>
      <c r="E68" s="50" t="s">
        <v>56</v>
      </c>
      <c r="F68" s="98">
        <f>ABS(D68/(3^0.5))</f>
        <v>4.6374642695998659E-3</v>
      </c>
      <c r="G68" s="95">
        <f>C44+B68</f>
        <v>0.99758986000000005</v>
      </c>
      <c r="H68" s="231"/>
    </row>
    <row r="69" spans="1:8" ht="12.75" x14ac:dyDescent="0.2">
      <c r="A69" s="65" t="s">
        <v>135</v>
      </c>
      <c r="B69" s="91">
        <f>F9</f>
        <v>0.1</v>
      </c>
      <c r="C69" s="66" t="s">
        <v>12</v>
      </c>
      <c r="D69" s="91">
        <f>(D26-D27)*(B20+C20)/D25*(1-C40/F20)*(1/(C44-C40))-(D26-D27)*(B20+C20)/D25*(1-G69/F20)*(1/(C44-G69))</f>
        <v>-6.7660865397556336E-4</v>
      </c>
      <c r="E69" s="50" t="s">
        <v>56</v>
      </c>
      <c r="F69" s="98">
        <f>ABS(D69/(3^0.5))</f>
        <v>3.9064018850882187E-4</v>
      </c>
      <c r="G69" s="91">
        <f>(ROUND(((((G10*(133.322368421053))*(0.02896546))/((1-(((G10*133.322368421053)/(H69+273.15))*((0.00000158123)+((-0.000000029331)*(H69))+(0.00000000011043*H69^2)+(((0.000005707)+(-0.00000002051*H69))*((G11/100)*((1.00062+0.0000000314*(G10*133.322368421053)+0.00000056*H69^2)*((EXP(0.000012378847*(H69+273.15)^2+(-0.019121316*(H69+273.15))+33.93711047+(-6343.1645/(H69+273.15))))/(G10*133.322368421053)))))+((0.00019898+(-0.000002376*H69))*(((G11/100)*((1.00062+0.0000000314*(G10*133.322368421053)+0.00000056*H69^2)*((EXP(0.000012378847*(H69+273.15)^2+(-0.019121316)*(H69+273.15)+33.93711047+(-6343.1645)/(H69+273.15)))/(G10*133.322368421053))))^2))))+(((G10*133.322368421053)^2/((H69+273.15)^2)*(0.0000000000183+(-0.00000000765*(((G11/100)*((1.00062+0.0000000314*(G10*133.322368421053)+0.00000056*H69^2)*((EXP(0.000012378847*(H69+273.15)^2+(-0.019121316)*(H69+273.15)+33.93711047+(-6343.1645)/(H69+273.15)))/(G10*133.322368421053))))^2))))))*(8.314472)*(H69+273.15)))*(1-((0.378*((G11/100)*((1.00062+0.0000000314*(G10*133.322368421053)+0.00000056*H69^2)*((EXP(0.000012378847*(H69+273.15)^2+(-0.019121316)*(H69+273.15)+33.93711047+(-6343.1645)/(H69+273.15)))/(G10*133.322368421053)))))))),9))/1000</f>
        <v>1.1692345049999998E-3</v>
      </c>
      <c r="H69" s="232">
        <f>(G9+B69)</f>
        <v>22.612500000000001</v>
      </c>
    </row>
    <row r="70" spans="1:8" ht="12.75" x14ac:dyDescent="0.2">
      <c r="A70" s="65" t="s">
        <v>52</v>
      </c>
      <c r="B70" s="91">
        <f>F10</f>
        <v>0.5</v>
      </c>
      <c r="C70" s="66" t="s">
        <v>9</v>
      </c>
      <c r="D70" s="91">
        <f>(D26-D27)*(B20+C20)/D25*(1-C40/F20)*(1/(C44-C40))-(D26-D27)*(B20+C20)/D25*(1-G70/F20)*(1/(C44-G70))</f>
        <v>1.4590735518140718E-3</v>
      </c>
      <c r="E70" s="50" t="s">
        <v>56</v>
      </c>
      <c r="F70" s="98">
        <f>ABS(D70/(3^0.5))</f>
        <v>8.423965079073178E-4</v>
      </c>
      <c r="G70" s="91">
        <f>(ROUND(((((H70*(133.322368421053))*(0.02896546))/((1-(((H70*133.322368421053)/(G9+273.15))*((0.00000158123)+((-0.000000029331)*(G9))+(0.00000000011043*G9^2)+(((0.000005707)+(-0.00000002051*G9))*((G11/100)*((1.00062+0.0000000314*(H70*133.322368421053)+0.00000056*G9^2)*((EXP(0.000012378847*(G9+273.15)^2+(-0.019121316*(G9+273.15))+33.93711047+(-6343.1645/(G9+273.15))))/(H70*133.322368421053)))))+((0.00019898+(-0.000002376*G9))*(((G11/100)*((1.00062+0.0000000314*(H70*133.322368421053)+0.00000056*G9^2)*((EXP(0.000012378847*(G9+273.15)^2+(-0.019121316)*(G9+273.15)+33.93711047+(-6343.1645)/(G9+273.15)))/(H70*133.322368421053))))^2))))+(((H70*133.322368421053)^2/((G9+273.15)^2)*(0.0000000000183+(-0.00000000765*(((G11/100)*((1.00062+0.0000000314*(H70*133.322368421053)+0.00000056*G9^2)*((EXP(0.000012378847*(G9+273.15)^2+(-0.019121316)*(G9+273.15)+33.93711047+(-6343.1645)/(G9+273.15)))/(H70*133.322368421053))))^2))))))*(8.314472)*(G9+273.15)))*(1-((0.378*((G11/100)*((1.00062+0.0000000314*(H70*133.322368421053)+0.00000056*G9^2)*((EXP(0.000012378847*(G9+273.15)^2+(-0.019121316)*(G9+273.15)+33.93711047+(-6343.1645)/(G9+273.15)))/(H70*133.322368421053)))))))),9))/1000</f>
        <v>1.17045047E-3</v>
      </c>
      <c r="H70" s="232">
        <f>(G10+B70)</f>
        <v>748.32499999999993</v>
      </c>
    </row>
    <row r="71" spans="1:8" ht="12.75" x14ac:dyDescent="0.2">
      <c r="A71" s="65" t="s">
        <v>53</v>
      </c>
      <c r="B71" s="91">
        <f>F11</f>
        <v>2</v>
      </c>
      <c r="C71" s="66" t="s">
        <v>15</v>
      </c>
      <c r="D71" s="91">
        <f>(D26-D27)*(B20+C20)/D25*(1-C40/F20)*(1/(C44-C40))-(D26-D27)*(B20+C20)/D25*(1-G71/F20)*(1/(C44-G71))</f>
        <v>-3.4679818122640427E-4</v>
      </c>
      <c r="E71" s="50" t="s">
        <v>56</v>
      </c>
      <c r="F71" s="98">
        <f>ABS(D71/(3^0.5))</f>
        <v>2.0022402328553714E-4</v>
      </c>
      <c r="G71" s="91">
        <f>(ROUND(((((G10*(133.322368421053))*(0.02896546))/((1-(((G10*133.322368421053)/(G9+273.15))*((0.00000158123)+((-0.000000029331)*(G9))+(0.00000000011043*G9^2)+(((0.000005707)+(-0.00000002051*G9))*((H71/100)*((1.00062+0.0000000314*(G10*133.322368421053)+0.00000056*G9^2)*((EXP(0.000012378847*(G9+273.15)^2+(-0.019121316*(G9+273.15))+33.93711047+(-6343.1645/(G9+273.15))))/(G10*133.322368421053)))))+((0.00019898+(-0.000002376*G9))*(((H71/100)*((1.00062+0.0000000314*(G10*133.322368421053)+0.00000056*G9^2)*((EXP(0.000012378847*(G9+273.15)^2+(-0.019121316)*(G9+273.15)+33.93711047+(-6343.1645)/(G9+273.15)))/(G10*133.322368421053))))^2))))+(((G10*133.322368421053)^2/((G9+273.15)^2)*(0.0000000000183+(-0.00000000765*(((H71/100)*((1.00062+0.0000000314*(G10*133.322368421053)+0.00000056*G9^2)*((EXP(0.000012378847*(G9+273.15)^2+(-0.019121316)*(G9+273.15)+33.93711047+(-6343.1645)/(G9+273.15)))/(G10*133.322368421053))))^2))))))*(8.314472)*(G9+273.15)))*(1-((0.378*((H71/100)*((1.00062+0.0000000314*(G10*133.322368421053)+0.00000056*G9^2)*((EXP(0.000012378847*(G9+273.15)^2+(-0.019121316)*(G9+273.15)+33.93711047+(-6343.1645)/(G9+273.15)))/(G10*133.322368421053)))))))),9))/1000</f>
        <v>1.169422285E-3</v>
      </c>
      <c r="H71" s="232">
        <f>(G11+B71)</f>
        <v>47.25</v>
      </c>
    </row>
    <row r="72" spans="1:8" ht="15.75" x14ac:dyDescent="0.2">
      <c r="A72" s="65" t="s">
        <v>54</v>
      </c>
      <c r="B72" s="91">
        <f>0.000022*AVERAGE(C40:C41)*1000</f>
        <v>2.5732618394999999E-5</v>
      </c>
      <c r="C72" s="66" t="s">
        <v>88</v>
      </c>
      <c r="D72" s="91">
        <f>(D26-D27)*(B20+C20)/D25*(1-(C40)/F20)*(1/(C44-C40))-(D26-D27)*(B20+C20)/D25*(1-(C40+B72/1000)/F20)*(1/(C44-(C40+B72/1000)))</f>
        <v>4.5195932443675702E-5</v>
      </c>
      <c r="E72" s="50" t="s">
        <v>50</v>
      </c>
      <c r="F72" s="98">
        <f>ABS(D72)</f>
        <v>4.5195932443675702E-5</v>
      </c>
      <c r="G72" s="92"/>
      <c r="H72" s="228"/>
    </row>
    <row r="73" spans="1:8" ht="15.75" x14ac:dyDescent="0.2">
      <c r="A73" s="65" t="s">
        <v>55</v>
      </c>
      <c r="B73" s="91">
        <v>0.05</v>
      </c>
      <c r="C73" s="66" t="s">
        <v>84</v>
      </c>
      <c r="D73" s="91">
        <f>(D26-D27)*(B20+C20)/D25*(1-C40/F20)*(1/(C44-C40))-(D26-D27)*(B20+C20)/D25*(1-C40/(F20+B73))*(1/(C44-C40))</f>
        <v>1.8401161171368585E-3</v>
      </c>
      <c r="E73" s="50" t="s">
        <v>56</v>
      </c>
      <c r="F73" s="98">
        <f>ABS(D73/(3^0.5))</f>
        <v>1.0623915355691342E-3</v>
      </c>
      <c r="G73" s="92"/>
      <c r="H73" s="228"/>
    </row>
    <row r="74" spans="1:8" ht="12.75" x14ac:dyDescent="0.2">
      <c r="A74" s="274"/>
      <c r="B74" s="291"/>
      <c r="C74" s="291"/>
      <c r="D74" s="325"/>
      <c r="E74" s="69" t="s">
        <v>57</v>
      </c>
      <c r="F74" s="67">
        <f>(F63^2+F65^2+F66^2+F67^2+F68^2+F69^2+F70^2+F71^2+F72^2+F73^2)^0.5</f>
        <v>5.1685438617513943E-2</v>
      </c>
    </row>
    <row r="75" spans="1:8" ht="15.75" thickBot="1" x14ac:dyDescent="0.3">
      <c r="A75" s="297" t="s">
        <v>130</v>
      </c>
      <c r="B75" s="298"/>
      <c r="C75" s="106">
        <f>ROUND(TINV(0.0455,B12),2)</f>
        <v>2.0099999999999998</v>
      </c>
      <c r="D75" s="107"/>
      <c r="E75" s="108" t="s">
        <v>112</v>
      </c>
      <c r="F75" s="109">
        <f>F74*C75</f>
        <v>0.10388773162120302</v>
      </c>
    </row>
    <row r="76" spans="1:8" ht="12.75" customHeight="1" thickTop="1" x14ac:dyDescent="0.2"/>
    <row r="77" spans="1:8" ht="12.75" x14ac:dyDescent="0.2">
      <c r="A77" s="233"/>
      <c r="B77" s="233"/>
    </row>
    <row r="78" spans="1:8" ht="12.75" hidden="1" x14ac:dyDescent="0.2"/>
    <row r="79" spans="1:8" ht="12.75" customHeight="1" x14ac:dyDescent="0.2"/>
    <row r="80" spans="1:8"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sheetData>
  <sheetProtection password="FFED" sheet="1" objects="1" scenarios="1"/>
  <mergeCells count="67">
    <mergeCell ref="A29:G29"/>
    <mergeCell ref="L27:O27"/>
    <mergeCell ref="L30:O30"/>
    <mergeCell ref="L31:O31"/>
    <mergeCell ref="D30:G30"/>
    <mergeCell ref="D31:G31"/>
    <mergeCell ref="D27:G27"/>
    <mergeCell ref="D28:G28"/>
    <mergeCell ref="D43:F43"/>
    <mergeCell ref="D44:F44"/>
    <mergeCell ref="A38:F38"/>
    <mergeCell ref="A39:C39"/>
    <mergeCell ref="D39:F39"/>
    <mergeCell ref="D40:F40"/>
    <mergeCell ref="A75:B75"/>
    <mergeCell ref="L25:O25"/>
    <mergeCell ref="L26:O26"/>
    <mergeCell ref="M28:P28"/>
    <mergeCell ref="M29:P29"/>
    <mergeCell ref="G49:H49"/>
    <mergeCell ref="A53:C53"/>
    <mergeCell ref="A54:B54"/>
    <mergeCell ref="A55:B55"/>
    <mergeCell ref="A56:C56"/>
    <mergeCell ref="D58:F58"/>
    <mergeCell ref="A46:C46"/>
    <mergeCell ref="D46:F46"/>
    <mergeCell ref="D47:F47"/>
    <mergeCell ref="D56:F56"/>
    <mergeCell ref="D57:F57"/>
    <mergeCell ref="D32:G32"/>
    <mergeCell ref="G65:H65"/>
    <mergeCell ref="A74:D74"/>
    <mergeCell ref="D59:F59"/>
    <mergeCell ref="A61:F61"/>
    <mergeCell ref="D48:F48"/>
    <mergeCell ref="A49:C49"/>
    <mergeCell ref="D49:F49"/>
    <mergeCell ref="D45:F45"/>
    <mergeCell ref="A36:B36"/>
    <mergeCell ref="D36:G36"/>
    <mergeCell ref="D41:F41"/>
    <mergeCell ref="A42:F42"/>
    <mergeCell ref="A43:C43"/>
    <mergeCell ref="A35:B35"/>
    <mergeCell ref="D35:G35"/>
    <mergeCell ref="A21:F21"/>
    <mergeCell ref="A22:F22"/>
    <mergeCell ref="D23:G23"/>
    <mergeCell ref="D25:G25"/>
    <mergeCell ref="D26:G26"/>
    <mergeCell ref="A24:G24"/>
    <mergeCell ref="C12:E12"/>
    <mergeCell ref="A13:F13"/>
    <mergeCell ref="A14:A15"/>
    <mergeCell ref="B14:B15"/>
    <mergeCell ref="A1:J1"/>
    <mergeCell ref="A2:J2"/>
    <mergeCell ref="D4:G4"/>
    <mergeCell ref="D5:G5"/>
    <mergeCell ref="D6:G6"/>
    <mergeCell ref="H4:J4"/>
    <mergeCell ref="C14:C15"/>
    <mergeCell ref="D14:D15"/>
    <mergeCell ref="E14:E15"/>
    <mergeCell ref="F14:F15"/>
    <mergeCell ref="G14:G15"/>
  </mergeCells>
  <conditionalFormatting sqref="D58">
    <cfRule type="containsText" dxfId="2" priority="2" operator="containsText" text="Pass">
      <formula>NOT(ISERROR(SEARCH("Pass",D58)))</formula>
    </cfRule>
  </conditionalFormatting>
  <pageMargins left="0.7" right="0.7" top="0.75" bottom="0.75" header="0.3" footer="0.3"/>
  <pageSetup scale="65" fitToHeight="2" orientation="landscape" r:id="rId1"/>
  <headerFooter alignWithMargins="0">
    <oddHeader>&amp;C&amp;"Times New Roman,Regular"&amp;F</oddHeader>
    <oddFooter>&amp;C&amp;"Times New Roman,Regular"Page &amp;P of &amp;N</oddFooter>
  </headerFooter>
  <rowBreaks count="1" manualBreakCount="1">
    <brk id="37" max="9" man="1"/>
  </rowBreaks>
  <drawing r:id="rId2"/>
  <legacyDrawing r:id="rId3"/>
  <oleObjects>
    <mc:AlternateContent xmlns:mc="http://schemas.openxmlformats.org/markup-compatibility/2006">
      <mc:Choice Requires="x14">
        <oleObject progId="Equation.3" shapeId="33798" r:id="rId4">
          <objectPr defaultSize="0" autoPict="0" r:id="rId5">
            <anchor moveWithCells="1" sizeWithCells="1">
              <from>
                <xdr:col>6</xdr:col>
                <xdr:colOff>123825</xdr:colOff>
                <xdr:row>53</xdr:row>
                <xdr:rowOff>152400</xdr:rowOff>
              </from>
              <to>
                <xdr:col>7</xdr:col>
                <xdr:colOff>1266825</xdr:colOff>
                <xdr:row>55</xdr:row>
                <xdr:rowOff>47625</xdr:rowOff>
              </to>
            </anchor>
          </objectPr>
        </oleObject>
      </mc:Choice>
      <mc:Fallback>
        <oleObject progId="Equation.3" shapeId="33798" r:id="rId4"/>
      </mc:Fallback>
    </mc:AlternateContent>
    <mc:AlternateContent xmlns:mc="http://schemas.openxmlformats.org/markup-compatibility/2006">
      <mc:Choice Requires="x14">
        <oleObject progId="Equation.3" shapeId="33799" r:id="rId6">
          <objectPr defaultSize="0" autoPict="0" r:id="rId7">
            <anchor moveWithCells="1" sizeWithCells="1">
              <from>
                <xdr:col>6</xdr:col>
                <xdr:colOff>95250</xdr:colOff>
                <xdr:row>49</xdr:row>
                <xdr:rowOff>152400</xdr:rowOff>
              </from>
              <to>
                <xdr:col>7</xdr:col>
                <xdr:colOff>1276350</xdr:colOff>
                <xdr:row>53</xdr:row>
                <xdr:rowOff>142875</xdr:rowOff>
              </to>
            </anchor>
          </objectPr>
        </oleObject>
      </mc:Choice>
      <mc:Fallback>
        <oleObject progId="Equation.3" shapeId="33799" r:id="rId6"/>
      </mc:Fallback>
    </mc:AlternateContent>
    <mc:AlternateContent xmlns:mc="http://schemas.openxmlformats.org/markup-compatibility/2006">
      <mc:Choice Requires="x14">
        <oleObject progId="Equation.3" shapeId="33800" r:id="rId8">
          <objectPr defaultSize="0" autoPict="0" r:id="rId9">
            <anchor moveWithCells="1" sizeWithCells="1">
              <from>
                <xdr:col>6</xdr:col>
                <xdr:colOff>47625</xdr:colOff>
                <xdr:row>46</xdr:row>
                <xdr:rowOff>9525</xdr:rowOff>
              </from>
              <to>
                <xdr:col>7</xdr:col>
                <xdr:colOff>619125</xdr:colOff>
                <xdr:row>47</xdr:row>
                <xdr:rowOff>123825</xdr:rowOff>
              </to>
            </anchor>
          </objectPr>
        </oleObject>
      </mc:Choice>
      <mc:Fallback>
        <oleObject progId="Equation.3" shapeId="33800" r:id="rId8"/>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transitionEntry="1"/>
  <dimension ref="A1:S87"/>
  <sheetViews>
    <sheetView showGridLines="0" tabSelected="1" zoomScaleNormal="100" workbookViewId="0">
      <selection activeCell="D25" sqref="D25:G25"/>
    </sheetView>
  </sheetViews>
  <sheetFormatPr defaultColWidth="9.75" defaultRowHeight="0" customHeight="1" zeroHeight="1" x14ac:dyDescent="0.2"/>
  <cols>
    <col min="1" max="1" width="24.625" style="47" customWidth="1"/>
    <col min="2" max="2" width="20.25" style="47" customWidth="1"/>
    <col min="3" max="3" width="15.125" style="47" customWidth="1"/>
    <col min="4" max="5" width="9.75" style="47" customWidth="1"/>
    <col min="6" max="6" width="11" style="47" customWidth="1"/>
    <col min="7" max="7" width="12.5" style="47" customWidth="1"/>
    <col min="8" max="8" width="18.25" style="47" customWidth="1"/>
    <col min="9" max="9" width="11.875" style="47" customWidth="1"/>
    <col min="10" max="10" width="11.375" style="47" customWidth="1"/>
    <col min="11" max="19" width="9.75" style="62"/>
    <col min="20" max="16384" width="9.75" style="47"/>
  </cols>
  <sheetData>
    <row r="1" spans="1:10" ht="14.25" thickTop="1" thickBot="1" x14ac:dyDescent="0.25">
      <c r="A1" s="246" t="s">
        <v>81</v>
      </c>
      <c r="B1" s="247"/>
      <c r="C1" s="247"/>
      <c r="D1" s="247"/>
      <c r="E1" s="247"/>
      <c r="F1" s="247"/>
      <c r="G1" s="247"/>
      <c r="H1" s="247"/>
      <c r="I1" s="247"/>
      <c r="J1" s="248"/>
    </row>
    <row r="2" spans="1:10" ht="14.25" thickTop="1" thickBot="1" x14ac:dyDescent="0.25">
      <c r="A2" s="249" t="s">
        <v>83</v>
      </c>
      <c r="B2" s="250"/>
      <c r="C2" s="250"/>
      <c r="D2" s="250"/>
      <c r="E2" s="250"/>
      <c r="F2" s="250"/>
      <c r="G2" s="250"/>
      <c r="H2" s="250"/>
      <c r="I2" s="250"/>
      <c r="J2" s="251"/>
    </row>
    <row r="3" spans="1:10" ht="14.25" thickTop="1" thickBot="1" x14ac:dyDescent="0.25">
      <c r="A3" s="136" t="s">
        <v>144</v>
      </c>
      <c r="B3" s="136"/>
      <c r="C3" s="136"/>
      <c r="D3" s="138"/>
      <c r="E3" s="138"/>
      <c r="F3" s="138"/>
    </row>
    <row r="4" spans="1:10" ht="14.25" thickTop="1" thickBot="1" x14ac:dyDescent="0.25">
      <c r="A4" s="51" t="s">
        <v>121</v>
      </c>
      <c r="B4" s="242"/>
      <c r="C4" s="52" t="s">
        <v>97</v>
      </c>
      <c r="D4" s="341"/>
      <c r="E4" s="342"/>
      <c r="F4" s="342"/>
      <c r="G4" s="343"/>
      <c r="H4" s="275" t="s">
        <v>146</v>
      </c>
      <c r="I4" s="276"/>
      <c r="J4" s="277"/>
    </row>
    <row r="5" spans="1:10" ht="13.5" thickTop="1" x14ac:dyDescent="0.2">
      <c r="A5" s="53" t="s">
        <v>93</v>
      </c>
      <c r="B5" s="89"/>
      <c r="C5" s="54" t="s">
        <v>70</v>
      </c>
      <c r="D5" s="344"/>
      <c r="E5" s="345"/>
      <c r="F5" s="345"/>
      <c r="G5" s="346"/>
      <c r="H5" s="234" t="s">
        <v>164</v>
      </c>
      <c r="I5" s="165"/>
      <c r="J5" s="166"/>
    </row>
    <row r="6" spans="1:10" ht="12.75" x14ac:dyDescent="0.2">
      <c r="A6" s="55" t="s">
        <v>71</v>
      </c>
      <c r="B6" s="243"/>
      <c r="C6" s="127" t="s">
        <v>72</v>
      </c>
      <c r="D6" s="347"/>
      <c r="E6" s="348"/>
      <c r="F6" s="348"/>
      <c r="G6" s="349"/>
      <c r="H6" s="167"/>
      <c r="I6" s="168"/>
      <c r="J6" s="169"/>
    </row>
    <row r="7" spans="1:10" ht="27" customHeight="1" x14ac:dyDescent="0.2">
      <c r="A7" s="55" t="s">
        <v>77</v>
      </c>
      <c r="B7" s="188"/>
      <c r="C7" s="128" t="s">
        <v>141</v>
      </c>
      <c r="D7" s="241">
        <v>20</v>
      </c>
      <c r="E7" s="163"/>
      <c r="F7" s="163"/>
      <c r="G7" s="164"/>
      <c r="H7" s="167"/>
      <c r="I7" s="190"/>
      <c r="J7" s="169"/>
    </row>
    <row r="8" spans="1:10" ht="25.5" x14ac:dyDescent="0.2">
      <c r="A8" s="55" t="s">
        <v>145</v>
      </c>
      <c r="B8" s="188"/>
      <c r="C8" s="54"/>
      <c r="D8" s="140" t="s">
        <v>142</v>
      </c>
      <c r="E8" s="140" t="s">
        <v>143</v>
      </c>
      <c r="F8" s="50" t="s">
        <v>96</v>
      </c>
      <c r="G8" s="129" t="s">
        <v>124</v>
      </c>
      <c r="H8" s="167"/>
      <c r="I8" s="168"/>
      <c r="J8" s="169"/>
    </row>
    <row r="9" spans="1:10" ht="18.75" customHeight="1" x14ac:dyDescent="0.2">
      <c r="A9" s="55" t="s">
        <v>75</v>
      </c>
      <c r="B9" s="243"/>
      <c r="C9" s="77" t="s">
        <v>132</v>
      </c>
      <c r="D9" s="119" t="e">
        <f>AVERAGE(I24:J24)</f>
        <v>#DIV/0!</v>
      </c>
      <c r="E9" s="119" t="e">
        <f>AVERAGE(I29:J29)</f>
        <v>#DIV/0!</v>
      </c>
      <c r="F9" s="89"/>
      <c r="G9" s="130" t="e">
        <f>AVERAGE(D9:E9)</f>
        <v>#DIV/0!</v>
      </c>
      <c r="H9" s="167"/>
      <c r="I9" s="168"/>
      <c r="J9" s="169"/>
    </row>
    <row r="10" spans="1:10" ht="18.75" customHeight="1" x14ac:dyDescent="0.2">
      <c r="A10" s="55" t="s">
        <v>94</v>
      </c>
      <c r="B10" s="188"/>
      <c r="C10" s="77" t="s">
        <v>133</v>
      </c>
      <c r="D10" s="119" t="e">
        <f>AVERAGE(I25:J25)</f>
        <v>#DIV/0!</v>
      </c>
      <c r="E10" s="119" t="e">
        <f>AVERAGE(I30:J30)</f>
        <v>#DIV/0!</v>
      </c>
      <c r="F10" s="89"/>
      <c r="G10" s="130" t="e">
        <f>AVERAGE(D10:E10)</f>
        <v>#DIV/0!</v>
      </c>
      <c r="H10" s="167"/>
      <c r="I10" s="168"/>
      <c r="J10" s="169"/>
    </row>
    <row r="11" spans="1:10" ht="27" customHeight="1" x14ac:dyDescent="0.2">
      <c r="A11" s="55" t="s">
        <v>95</v>
      </c>
      <c r="B11" s="188"/>
      <c r="C11" s="77" t="s">
        <v>134</v>
      </c>
      <c r="D11" s="119" t="e">
        <f>AVERAGE(I26:J26)</f>
        <v>#DIV/0!</v>
      </c>
      <c r="E11" s="119" t="e">
        <f>AVERAGE(I31:J31)</f>
        <v>#DIV/0!</v>
      </c>
      <c r="F11" s="89"/>
      <c r="G11" s="130" t="e">
        <f>AVERAGE(D11:E11)</f>
        <v>#DIV/0!</v>
      </c>
      <c r="H11" s="167"/>
      <c r="I11" s="168"/>
      <c r="J11" s="169"/>
    </row>
    <row r="12" spans="1:10" ht="26.25" customHeight="1" thickBot="1" x14ac:dyDescent="0.25">
      <c r="A12" s="56" t="s">
        <v>76</v>
      </c>
      <c r="B12" s="189"/>
      <c r="C12" s="261" t="s">
        <v>156</v>
      </c>
      <c r="D12" s="262"/>
      <c r="E12" s="263"/>
      <c r="F12" s="174"/>
      <c r="G12" s="131"/>
      <c r="H12" s="167"/>
      <c r="I12" s="168"/>
      <c r="J12" s="169"/>
    </row>
    <row r="13" spans="1:10" ht="14.25" thickTop="1" thickBot="1" x14ac:dyDescent="0.25">
      <c r="A13" s="264" t="s">
        <v>78</v>
      </c>
      <c r="B13" s="264"/>
      <c r="C13" s="264"/>
      <c r="D13" s="265"/>
      <c r="E13" s="265"/>
      <c r="F13" s="265"/>
      <c r="G13" s="48"/>
      <c r="H13" s="167"/>
      <c r="I13" s="168"/>
      <c r="J13" s="169"/>
    </row>
    <row r="14" spans="1:10" ht="39" customHeight="1" thickTop="1" x14ac:dyDescent="0.2">
      <c r="A14" s="266" t="s">
        <v>100</v>
      </c>
      <c r="B14" s="268" t="s">
        <v>102</v>
      </c>
      <c r="C14" s="268" t="s">
        <v>103</v>
      </c>
      <c r="D14" s="270" t="s">
        <v>157</v>
      </c>
      <c r="E14" s="268" t="s">
        <v>101</v>
      </c>
      <c r="F14" s="271" t="s">
        <v>104</v>
      </c>
      <c r="G14" s="350" t="s">
        <v>125</v>
      </c>
      <c r="H14" s="167"/>
      <c r="I14" s="168"/>
      <c r="J14" s="169"/>
    </row>
    <row r="15" spans="1:10" ht="13.5" thickBot="1" x14ac:dyDescent="0.25">
      <c r="A15" s="267"/>
      <c r="B15" s="269"/>
      <c r="C15" s="269"/>
      <c r="D15" s="269"/>
      <c r="E15" s="269"/>
      <c r="F15" s="272"/>
      <c r="G15" s="351"/>
      <c r="H15" s="167"/>
      <c r="I15" s="168"/>
      <c r="J15" s="169"/>
    </row>
    <row r="16" spans="1:10" ht="13.5" thickTop="1" x14ac:dyDescent="0.2">
      <c r="A16" s="57" t="s">
        <v>79</v>
      </c>
      <c r="B16" s="70"/>
      <c r="C16" s="70"/>
      <c r="D16" s="70"/>
      <c r="E16" s="70"/>
      <c r="F16" s="71"/>
      <c r="G16" s="132" t="str">
        <f>IF(ISNUMBER(B16),B16/F16,"")</f>
        <v/>
      </c>
      <c r="H16" s="167"/>
      <c r="I16" s="168"/>
      <c r="J16" s="169"/>
    </row>
    <row r="17" spans="1:12" ht="12.75" x14ac:dyDescent="0.2">
      <c r="A17" s="58" t="s">
        <v>79</v>
      </c>
      <c r="B17" s="137"/>
      <c r="C17" s="137"/>
      <c r="D17" s="137"/>
      <c r="E17" s="137"/>
      <c r="F17" s="72"/>
      <c r="G17" s="132" t="str">
        <f>IF(ISNUMBER(B17),B17/F17,"")</f>
        <v/>
      </c>
      <c r="H17" s="167"/>
      <c r="I17" s="168"/>
      <c r="J17" s="169"/>
    </row>
    <row r="18" spans="1:12" ht="12.75" x14ac:dyDescent="0.2">
      <c r="A18" s="58" t="s">
        <v>79</v>
      </c>
      <c r="B18" s="137"/>
      <c r="C18" s="137"/>
      <c r="D18" s="137"/>
      <c r="E18" s="137"/>
      <c r="F18" s="72"/>
      <c r="G18" s="132" t="str">
        <f>IF(ISNUMBER(B18),B18/F18,"")</f>
        <v/>
      </c>
      <c r="H18" s="167"/>
      <c r="I18" s="168"/>
      <c r="J18" s="169"/>
    </row>
    <row r="19" spans="1:12" ht="13.5" thickBot="1" x14ac:dyDescent="0.25">
      <c r="A19" s="85" t="s">
        <v>79</v>
      </c>
      <c r="B19" s="86"/>
      <c r="C19" s="86"/>
      <c r="D19" s="86"/>
      <c r="E19" s="86"/>
      <c r="F19" s="87"/>
      <c r="G19" s="133" t="str">
        <f>IF(ISNUMBER(B19),B19/F19,"")</f>
        <v/>
      </c>
      <c r="H19" s="167"/>
      <c r="I19" s="168"/>
      <c r="J19" s="169"/>
    </row>
    <row r="20" spans="1:12" ht="20.25" customHeight="1" thickTop="1" thickBot="1" x14ac:dyDescent="0.25">
      <c r="A20" s="88" t="s">
        <v>123</v>
      </c>
      <c r="B20" s="104">
        <f>SUM(B16:B19)</f>
        <v>0</v>
      </c>
      <c r="C20" s="104">
        <f>SUM(C16:C19)</f>
        <v>0</v>
      </c>
      <c r="D20" s="104">
        <f>SUM(D16:D19)</f>
        <v>0</v>
      </c>
      <c r="E20" s="104" t="e">
        <f>AVERAGE(E16:E19)</f>
        <v>#DIV/0!</v>
      </c>
      <c r="F20" s="105" t="e">
        <f>ROUND(B20/G20,6)</f>
        <v>#DIV/0!</v>
      </c>
      <c r="G20" s="134">
        <f>SUM(G16:G19)</f>
        <v>0</v>
      </c>
      <c r="H20" s="170"/>
      <c r="I20" s="171"/>
      <c r="J20" s="172"/>
    </row>
    <row r="21" spans="1:12" ht="13.5" thickTop="1" x14ac:dyDescent="0.2">
      <c r="A21" s="245" t="s">
        <v>86</v>
      </c>
      <c r="B21" s="245"/>
      <c r="C21" s="245"/>
      <c r="D21" s="245"/>
      <c r="E21" s="245"/>
      <c r="F21" s="245"/>
    </row>
    <row r="22" spans="1:12" ht="13.5" thickBot="1" x14ac:dyDescent="0.25">
      <c r="A22" s="282" t="s">
        <v>138</v>
      </c>
      <c r="B22" s="282"/>
      <c r="C22" s="282"/>
      <c r="D22" s="282"/>
      <c r="E22" s="282"/>
      <c r="F22" s="282"/>
    </row>
    <row r="23" spans="1:12" ht="39" thickTop="1" x14ac:dyDescent="0.2">
      <c r="A23" s="59" t="s">
        <v>40</v>
      </c>
      <c r="B23" s="139" t="s">
        <v>120</v>
      </c>
      <c r="C23" s="139" t="s">
        <v>82</v>
      </c>
      <c r="D23" s="283" t="s">
        <v>131</v>
      </c>
      <c r="E23" s="283"/>
      <c r="F23" s="283"/>
      <c r="G23" s="283"/>
      <c r="H23" s="52"/>
      <c r="I23" s="139" t="s">
        <v>73</v>
      </c>
      <c r="J23" s="120" t="s">
        <v>74</v>
      </c>
    </row>
    <row r="24" spans="1:12" ht="20.100000000000001" customHeight="1" x14ac:dyDescent="0.2">
      <c r="A24" s="286"/>
      <c r="B24" s="287"/>
      <c r="C24" s="287"/>
      <c r="D24" s="287"/>
      <c r="E24" s="287"/>
      <c r="F24" s="287"/>
      <c r="G24" s="288"/>
      <c r="H24" s="54" t="s">
        <v>132</v>
      </c>
      <c r="I24" s="90"/>
      <c r="J24" s="122"/>
    </row>
    <row r="25" spans="1:12" ht="20.100000000000001" customHeight="1" x14ac:dyDescent="0.2">
      <c r="A25" s="60">
        <v>1</v>
      </c>
      <c r="B25" s="61" t="s">
        <v>90</v>
      </c>
      <c r="C25" s="121" t="s">
        <v>89</v>
      </c>
      <c r="D25" s="352"/>
      <c r="E25" s="352"/>
      <c r="F25" s="352"/>
      <c r="G25" s="352"/>
      <c r="H25" s="54" t="s">
        <v>133</v>
      </c>
      <c r="I25" s="90"/>
      <c r="J25" s="122"/>
    </row>
    <row r="26" spans="1:12" ht="20.100000000000001" customHeight="1" x14ac:dyDescent="0.2">
      <c r="A26" s="60">
        <v>2</v>
      </c>
      <c r="B26" s="159" t="s">
        <v>169</v>
      </c>
      <c r="C26" s="121" t="s">
        <v>91</v>
      </c>
      <c r="D26" s="352"/>
      <c r="E26" s="352"/>
      <c r="F26" s="352"/>
      <c r="G26" s="352"/>
      <c r="H26" s="54" t="s">
        <v>134</v>
      </c>
      <c r="I26" s="90"/>
      <c r="J26" s="122"/>
    </row>
    <row r="27" spans="1:12" ht="20.100000000000001" customHeight="1" thickBot="1" x14ac:dyDescent="0.25">
      <c r="A27" s="123">
        <v>3</v>
      </c>
      <c r="B27" s="124" t="s">
        <v>80</v>
      </c>
      <c r="C27" s="125" t="s">
        <v>92</v>
      </c>
      <c r="D27" s="353"/>
      <c r="E27" s="353"/>
      <c r="F27" s="353"/>
      <c r="G27" s="353"/>
      <c r="H27" s="124" t="s">
        <v>98</v>
      </c>
      <c r="I27" s="189"/>
      <c r="J27" s="126"/>
      <c r="K27" s="161"/>
      <c r="L27" s="161"/>
    </row>
    <row r="28" spans="1:12" ht="39" thickTop="1" x14ac:dyDescent="0.2">
      <c r="A28" s="59" t="s">
        <v>41</v>
      </c>
      <c r="B28" s="139" t="s">
        <v>120</v>
      </c>
      <c r="C28" s="139" t="s">
        <v>82</v>
      </c>
      <c r="D28" s="283" t="s">
        <v>131</v>
      </c>
      <c r="E28" s="283"/>
      <c r="F28" s="283"/>
      <c r="G28" s="283"/>
      <c r="H28" s="52"/>
      <c r="I28" s="139" t="s">
        <v>73</v>
      </c>
      <c r="J28" s="120" t="s">
        <v>74</v>
      </c>
    </row>
    <row r="29" spans="1:12" ht="20.100000000000001" customHeight="1" x14ac:dyDescent="0.2">
      <c r="A29" s="286"/>
      <c r="B29" s="287"/>
      <c r="C29" s="287"/>
      <c r="D29" s="287"/>
      <c r="E29" s="287"/>
      <c r="F29" s="287"/>
      <c r="G29" s="288"/>
      <c r="H29" s="54" t="s">
        <v>132</v>
      </c>
      <c r="I29" s="90"/>
      <c r="J29" s="90"/>
    </row>
    <row r="30" spans="1:12" ht="20.100000000000001" customHeight="1" x14ac:dyDescent="0.2">
      <c r="A30" s="60">
        <v>1</v>
      </c>
      <c r="B30" s="61" t="s">
        <v>90</v>
      </c>
      <c r="C30" s="121" t="s">
        <v>89</v>
      </c>
      <c r="D30" s="352"/>
      <c r="E30" s="352"/>
      <c r="F30" s="352"/>
      <c r="G30" s="352"/>
      <c r="H30" s="54" t="s">
        <v>133</v>
      </c>
      <c r="I30" s="90"/>
      <c r="J30" s="90"/>
    </row>
    <row r="31" spans="1:12" ht="20.100000000000001" customHeight="1" x14ac:dyDescent="0.2">
      <c r="A31" s="60">
        <v>2</v>
      </c>
      <c r="B31" s="159" t="s">
        <v>169</v>
      </c>
      <c r="C31" s="121" t="s">
        <v>91</v>
      </c>
      <c r="D31" s="352"/>
      <c r="E31" s="352"/>
      <c r="F31" s="352"/>
      <c r="G31" s="352"/>
      <c r="H31" s="54" t="s">
        <v>134</v>
      </c>
      <c r="I31" s="90"/>
      <c r="J31" s="90"/>
    </row>
    <row r="32" spans="1:12" ht="20.100000000000001" customHeight="1" thickBot="1" x14ac:dyDescent="0.25">
      <c r="A32" s="123">
        <v>3</v>
      </c>
      <c r="B32" s="124" t="s">
        <v>80</v>
      </c>
      <c r="C32" s="125" t="s">
        <v>92</v>
      </c>
      <c r="D32" s="353"/>
      <c r="E32" s="353"/>
      <c r="F32" s="353"/>
      <c r="G32" s="353"/>
      <c r="H32" s="124" t="s">
        <v>98</v>
      </c>
      <c r="I32" s="189"/>
      <c r="J32" s="126"/>
    </row>
    <row r="33" spans="1:10" ht="13.5" thickTop="1" x14ac:dyDescent="0.2">
      <c r="A33" s="102"/>
      <c r="B33" s="62"/>
      <c r="C33" s="62"/>
      <c r="D33" s="62"/>
      <c r="E33" s="62"/>
      <c r="F33" s="62"/>
      <c r="I33" s="74"/>
      <c r="J33" s="74"/>
    </row>
    <row r="34" spans="1:10" ht="13.5" thickBot="1" x14ac:dyDescent="0.25">
      <c r="A34" s="102"/>
      <c r="B34" s="62"/>
      <c r="C34" s="62"/>
      <c r="D34" s="62"/>
      <c r="E34" s="62"/>
      <c r="F34" s="62"/>
      <c r="I34" s="74"/>
      <c r="J34" s="74"/>
    </row>
    <row r="35" spans="1:10" ht="15.75" thickTop="1" x14ac:dyDescent="0.25">
      <c r="A35" s="278" t="s">
        <v>114</v>
      </c>
      <c r="B35" s="279"/>
      <c r="C35" s="146" t="e">
        <f>FIXED((AVERAGE(C54:C55)),(2-1-INT(LOG10(ABS(F75)))))</f>
        <v>#DIV/0!</v>
      </c>
      <c r="D35" s="280" t="s">
        <v>39</v>
      </c>
      <c r="E35" s="280"/>
      <c r="F35" s="280"/>
      <c r="G35" s="281"/>
      <c r="I35" s="74"/>
      <c r="J35" s="74"/>
    </row>
    <row r="36" spans="1:10" ht="15.75" thickBot="1" x14ac:dyDescent="0.3">
      <c r="A36" s="326" t="s">
        <v>113</v>
      </c>
      <c r="B36" s="327"/>
      <c r="C36" s="173" t="e">
        <f>FIXED(F75,2-1-INT(LOG10(ABS(F75))))</f>
        <v>#DIV/0!</v>
      </c>
      <c r="D36" s="328" t="s">
        <v>39</v>
      </c>
      <c r="E36" s="328"/>
      <c r="F36" s="328"/>
      <c r="G36" s="329"/>
    </row>
    <row r="37" spans="1:10" ht="13.5" thickTop="1" x14ac:dyDescent="0.2">
      <c r="A37" s="102"/>
      <c r="B37" s="62"/>
      <c r="C37" s="62"/>
      <c r="D37" s="62"/>
      <c r="E37" s="62"/>
      <c r="F37" s="62"/>
      <c r="I37" s="74"/>
      <c r="J37" s="74"/>
    </row>
    <row r="38" spans="1:10" ht="13.5" thickBot="1" x14ac:dyDescent="0.25">
      <c r="A38" s="330" t="s">
        <v>99</v>
      </c>
      <c r="B38" s="330"/>
      <c r="C38" s="330"/>
      <c r="D38" s="330"/>
      <c r="E38" s="330"/>
      <c r="F38" s="330"/>
      <c r="I38" s="74"/>
      <c r="J38" s="74"/>
    </row>
    <row r="39" spans="1:10" ht="16.5" thickTop="1" x14ac:dyDescent="0.2">
      <c r="A39" s="305" t="s">
        <v>0</v>
      </c>
      <c r="B39" s="306"/>
      <c r="C39" s="331"/>
      <c r="D39" s="332" t="s">
        <v>64</v>
      </c>
      <c r="E39" s="333"/>
      <c r="F39" s="334"/>
      <c r="I39" s="75"/>
      <c r="J39" s="76"/>
    </row>
    <row r="40" spans="1:10" ht="18.75" x14ac:dyDescent="0.3">
      <c r="A40" s="63" t="s">
        <v>139</v>
      </c>
      <c r="B40" s="64"/>
      <c r="C40" s="96" t="e">
        <f>(ROUND(((((D10*(133.322368421053))*(0.02896546))/((1-(((D10*133.322368421053)/(D9+273.15))*((0.00000158123)+((-0.000000029331)*(D9))+(0.00000000011043*D9^2)+(((0.000005707)+(-0.00000002051*D9))*((D11/100)*((1.00062+0.0000000314*(D10*133.322368421053)+0.00000056*D9^2)*((EXP(0.000012378847*(D9+273.15)^2+(-0.019121316*(D9+273.15))+33.93711047+(-6343.1645/(D9+273.15))))/(D10*133.322368421053)))))+((0.00019898+(-0.000002376*D9))*(((D11/100)*((1.00062+0.0000000314*(D10*133.322368421053)+0.00000056*D9^2)*((EXP(0.000012378847*(D9+273.15)^2+(-0.019121316)*(D9+273.15)+33.93711047+(-6343.1645)/(D9+273.15)))/(D10*133.322368421053))))^2))))+(((D10*133.322368421053)^2/((D9+273.15)^2)*(0.0000000000183+(-0.00000000765*(((D11/100)*((1.00062+0.0000000314*(D10*133.322368421053)+0.00000056*D9^2)*((EXP(0.000012378847*(D9+273.15)^2+(-0.019121316)*(D9+273.15)+33.93711047+(-6343.1645)/(D9+273.15)))/(D10*133.322368421053))))^2))))))*(8.314472)*(D9+273.15)))*(1-((0.378*((D11/100)*((1.00062+0.0000000314*(D10*133.322368421053)+0.00000056*D9^2)*((EXP(0.000012378847*(D9+273.15)^2+(-0.019121316)*(D9+273.15)+33.93711047+(-6343.1645)/(D9+273.15)))/(D10*133.322368421053)))))))),9))/1000</f>
        <v>#DIV/0!</v>
      </c>
      <c r="D40" s="289" t="s">
        <v>116</v>
      </c>
      <c r="E40" s="289"/>
      <c r="F40" s="290"/>
      <c r="I40" s="73"/>
      <c r="J40" s="73"/>
    </row>
    <row r="41" spans="1:10" ht="17.25" customHeight="1" x14ac:dyDescent="0.3">
      <c r="A41" s="63" t="s">
        <v>140</v>
      </c>
      <c r="B41" s="64"/>
      <c r="C41" s="96" t="e">
        <f>(ROUND(((((E10*(133.322368421053))*(0.02896546))/((1-(((E10*133.322368421053)/(E9+273.15))*((0.00000158123)+((-0.000000029331)*(E9))+(0.00000000011043*E9^2)+(((0.000005707)+(-0.00000002051*E9))*((E11/100)*((1.00062+0.0000000314*(E10*133.322368421053)+0.00000056*E9^2)*((EXP(0.000012378847*(E9+273.15)^2+(-0.019121316*(E9+273.15))+33.93711047+(-6343.1645/(E9+273.15))))/(E10*133.322368421053)))))+((0.00019898+(-0.000002376*E9))*(((E11/100)*((1.00062+0.0000000314*(E10*133.322368421053)+0.00000056*E9^2)*((EXP(0.000012378847*(E9+273.15)^2+(-0.019121316)*(E9+273.15)+33.93711047+(-6343.1645)/(E9+273.15)))/(E10*133.322368421053))))^2))))+(((E10*133.322368421053)^2/((E9+273.15)^2)*(0.0000000000183+(-0.00000000765*(((E11/100)*((1.00062+0.0000000314*(E10*133.322368421053)+0.00000056*E9^2)*((EXP(0.000012378847*(E9+273.15)^2+(-0.019121316)*(E9+273.15)+33.93711047+(-6343.1645)/(E9+273.15)))/(E10*133.322368421053))))^2))))))*(8.314472)*(E9+273.15)))*(1-((0.378*((E11/100)*((1.00062+0.0000000314*(E10*133.322368421053)+0.00000056*E9^2)*((EXP(0.000012378847*(E9+273.15)^2+(-0.019121316)*(E9+273.15)+33.93711047+(-6343.1645)/(E9+273.15)))/(E10*133.322368421053)))))))),9))/1000</f>
        <v>#DIV/0!</v>
      </c>
      <c r="D41" s="289" t="s">
        <v>116</v>
      </c>
      <c r="E41" s="289"/>
      <c r="F41" s="290"/>
      <c r="I41" s="73"/>
      <c r="J41" s="73"/>
    </row>
    <row r="42" spans="1:10" ht="12.75" x14ac:dyDescent="0.2">
      <c r="A42" s="274"/>
      <c r="B42" s="291"/>
      <c r="C42" s="291"/>
      <c r="D42" s="291"/>
      <c r="E42" s="291"/>
      <c r="F42" s="292"/>
      <c r="H42" s="74"/>
      <c r="I42" s="74"/>
      <c r="J42" s="74"/>
    </row>
    <row r="43" spans="1:10" ht="12.75" x14ac:dyDescent="0.2">
      <c r="A43" s="293" t="s">
        <v>1</v>
      </c>
      <c r="B43" s="294"/>
      <c r="C43" s="295"/>
      <c r="D43" s="296" t="s">
        <v>59</v>
      </c>
      <c r="E43" s="289"/>
      <c r="F43" s="290"/>
      <c r="H43" s="74"/>
      <c r="I43" s="74"/>
      <c r="J43" s="74"/>
    </row>
    <row r="44" spans="1:10" ht="18" x14ac:dyDescent="0.2">
      <c r="A44" s="63" t="s">
        <v>85</v>
      </c>
      <c r="B44" s="49"/>
      <c r="C44" s="94">
        <f>ROUND(((999.97495*(1-(((I27-3.983035)^2*(I27+301.797))/(522528.9*(I27+69.34881)))))/1000)+(-4.612+0.106*I27)/1000000,8)</f>
        <v>0.99983820999999995</v>
      </c>
      <c r="D44" s="289" t="s">
        <v>122</v>
      </c>
      <c r="E44" s="289"/>
      <c r="F44" s="290"/>
      <c r="H44" s="78"/>
      <c r="I44" s="74"/>
      <c r="J44" s="74"/>
    </row>
    <row r="45" spans="1:10" ht="18" x14ac:dyDescent="0.2">
      <c r="A45" s="63" t="s">
        <v>87</v>
      </c>
      <c r="B45" s="49"/>
      <c r="C45" s="82">
        <f>ROUND(((999.97495*(1-(((I32-3.983035)^2*(I32+301.797))/(522528.9*(I32+69.34881)))))/1000)+(-4.612+0.106*I32)/1000000,8)</f>
        <v>0.99983820999999995</v>
      </c>
      <c r="D45" s="289" t="s">
        <v>122</v>
      </c>
      <c r="E45" s="289"/>
      <c r="F45" s="290"/>
      <c r="H45" s="79"/>
      <c r="I45" s="74"/>
      <c r="J45" s="74"/>
    </row>
    <row r="46" spans="1:10" ht="12.75" x14ac:dyDescent="0.2">
      <c r="A46" s="293" t="s">
        <v>2</v>
      </c>
      <c r="B46" s="294"/>
      <c r="C46" s="295"/>
      <c r="D46" s="296" t="s">
        <v>58</v>
      </c>
      <c r="E46" s="289"/>
      <c r="F46" s="290"/>
      <c r="H46" s="3"/>
      <c r="I46" s="3"/>
      <c r="J46" s="74"/>
    </row>
    <row r="47" spans="1:10" ht="12.75" x14ac:dyDescent="0.2">
      <c r="A47" s="63" t="s">
        <v>42</v>
      </c>
      <c r="B47" s="49"/>
      <c r="C47" s="93">
        <f>ROUND((1-B7*(I27-D7)),6)</f>
        <v>1</v>
      </c>
      <c r="D47" s="296" t="s">
        <v>115</v>
      </c>
      <c r="E47" s="289"/>
      <c r="F47" s="290"/>
      <c r="H47" s="3"/>
      <c r="I47" s="3"/>
      <c r="J47" s="74"/>
    </row>
    <row r="48" spans="1:10" ht="12.75" x14ac:dyDescent="0.2">
      <c r="A48" s="63" t="s">
        <v>43</v>
      </c>
      <c r="B48" s="49"/>
      <c r="C48" s="84">
        <f>ROUND((1-B7*(I32-D7)),6)</f>
        <v>1</v>
      </c>
      <c r="D48" s="296" t="s">
        <v>115</v>
      </c>
      <c r="E48" s="289"/>
      <c r="F48" s="290"/>
      <c r="H48" s="3"/>
      <c r="I48" s="80"/>
      <c r="J48" s="74"/>
    </row>
    <row r="49" spans="1:10" ht="26.25" customHeight="1" x14ac:dyDescent="0.2">
      <c r="A49" s="293" t="s">
        <v>105</v>
      </c>
      <c r="B49" s="294"/>
      <c r="C49" s="295"/>
      <c r="D49" s="313"/>
      <c r="E49" s="314"/>
      <c r="F49" s="315"/>
      <c r="G49" s="359"/>
      <c r="H49" s="360"/>
      <c r="I49" s="3"/>
      <c r="J49" s="74"/>
    </row>
    <row r="50" spans="1:10" ht="12.75" x14ac:dyDescent="0.2">
      <c r="A50" s="63" t="s">
        <v>106</v>
      </c>
      <c r="B50" s="49"/>
      <c r="C50" s="91" t="e">
        <f>(D27-D26)*(B20+C20)/D25*(1-C40/F20)*(1/(C44-C40))</f>
        <v>#DIV/0!</v>
      </c>
      <c r="D50" s="142" t="s">
        <v>39</v>
      </c>
      <c r="E50" s="143"/>
      <c r="F50" s="144"/>
      <c r="H50" s="3"/>
      <c r="I50" s="81"/>
      <c r="J50" s="74"/>
    </row>
    <row r="51" spans="1:10" ht="12.75" x14ac:dyDescent="0.2">
      <c r="A51" s="63" t="s">
        <v>107</v>
      </c>
      <c r="B51" s="49"/>
      <c r="C51" s="83" t="e">
        <f>(D32-D31)*(B20+C20)/D30*(1-C41/F20)*(1/(C45-C41))</f>
        <v>#DIV/0!</v>
      </c>
      <c r="D51" s="142" t="s">
        <v>39</v>
      </c>
      <c r="E51" s="143"/>
      <c r="F51" s="144"/>
      <c r="H51" s="3"/>
      <c r="I51" s="3"/>
      <c r="J51" s="74"/>
    </row>
    <row r="52" spans="1:10" ht="12.75" x14ac:dyDescent="0.2">
      <c r="A52" s="145"/>
      <c r="B52" s="141"/>
      <c r="C52" s="160"/>
      <c r="D52" s="142"/>
      <c r="E52" s="143"/>
      <c r="F52" s="144"/>
      <c r="H52" s="3"/>
      <c r="I52" s="3"/>
      <c r="J52" s="74"/>
    </row>
    <row r="53" spans="1:10" ht="12.75" x14ac:dyDescent="0.2">
      <c r="A53" s="293" t="s">
        <v>108</v>
      </c>
      <c r="B53" s="294"/>
      <c r="C53" s="295"/>
      <c r="D53" s="142"/>
      <c r="E53" s="143"/>
      <c r="F53" s="144"/>
      <c r="H53" s="3"/>
      <c r="I53" s="3"/>
      <c r="J53" s="74"/>
    </row>
    <row r="54" spans="1:10" ht="14.25" x14ac:dyDescent="0.25">
      <c r="A54" s="301" t="s">
        <v>109</v>
      </c>
      <c r="B54" s="302"/>
      <c r="C54" s="91" t="e">
        <f>C50*C47</f>
        <v>#DIV/0!</v>
      </c>
      <c r="D54" s="175" t="s">
        <v>159</v>
      </c>
      <c r="E54" s="147"/>
      <c r="F54" s="148"/>
      <c r="H54" s="3"/>
      <c r="I54" s="3"/>
      <c r="J54" s="74"/>
    </row>
    <row r="55" spans="1:10" ht="15" thickBot="1" x14ac:dyDescent="0.3">
      <c r="A55" s="303" t="s">
        <v>110</v>
      </c>
      <c r="B55" s="304"/>
      <c r="C55" s="152" t="e">
        <f>C51*C48</f>
        <v>#DIV/0!</v>
      </c>
      <c r="D55" s="153" t="s">
        <v>160</v>
      </c>
      <c r="E55" s="150"/>
      <c r="F55" s="151"/>
      <c r="H55" s="3"/>
      <c r="I55" s="3"/>
      <c r="J55" s="74"/>
    </row>
    <row r="56" spans="1:10" ht="13.5" thickTop="1" x14ac:dyDescent="0.2">
      <c r="A56" s="305" t="s">
        <v>150</v>
      </c>
      <c r="B56" s="306"/>
      <c r="C56" s="312"/>
      <c r="D56" s="316"/>
      <c r="E56" s="317"/>
      <c r="F56" s="318"/>
      <c r="H56" s="3"/>
      <c r="I56" s="3"/>
      <c r="J56" s="74"/>
    </row>
    <row r="57" spans="1:10" ht="15" x14ac:dyDescent="0.3">
      <c r="A57" s="154" t="s">
        <v>158</v>
      </c>
      <c r="B57" s="49"/>
      <c r="C57" s="83" t="e">
        <f>STDEV(C54:C55)</f>
        <v>#DIV/0!</v>
      </c>
      <c r="D57" s="319" t="s">
        <v>161</v>
      </c>
      <c r="E57" s="320"/>
      <c r="F57" s="321"/>
      <c r="H57" s="3"/>
      <c r="I57" s="3"/>
      <c r="J57" s="74"/>
    </row>
    <row r="58" spans="1:10" ht="12.75" x14ac:dyDescent="0.2">
      <c r="A58" s="155" t="s">
        <v>151</v>
      </c>
      <c r="B58" s="156"/>
      <c r="C58" s="99">
        <f>B11</f>
        <v>0</v>
      </c>
      <c r="D58" s="361" t="str">
        <f>IF(C58=0,"Incomplete",IF(C57&lt;(C58*3),"Difference is less than Control Limits, Pass", "Fail"))</f>
        <v>Incomplete</v>
      </c>
      <c r="E58" s="361"/>
      <c r="F58" s="362"/>
      <c r="H58" s="74"/>
      <c r="I58" s="74"/>
      <c r="J58" s="74"/>
    </row>
    <row r="59" spans="1:10" ht="13.5" thickBot="1" x14ac:dyDescent="0.25">
      <c r="A59" s="157"/>
      <c r="B59" s="158"/>
      <c r="C59" s="158"/>
      <c r="D59" s="356"/>
      <c r="E59" s="357"/>
      <c r="F59" s="358"/>
      <c r="H59" s="74"/>
      <c r="I59" s="74"/>
      <c r="J59" s="74"/>
    </row>
    <row r="60" spans="1:10" ht="14.25" thickTop="1" thickBot="1" x14ac:dyDescent="0.25">
      <c r="A60" s="62"/>
      <c r="B60" s="62"/>
      <c r="C60" s="62"/>
      <c r="D60" s="62"/>
      <c r="E60" s="62"/>
      <c r="F60" s="62"/>
    </row>
    <row r="61" spans="1:10" ht="13.5" thickTop="1" x14ac:dyDescent="0.2">
      <c r="A61" s="305" t="s">
        <v>117</v>
      </c>
      <c r="B61" s="306"/>
      <c r="C61" s="306"/>
      <c r="D61" s="306"/>
      <c r="E61" s="306"/>
      <c r="F61" s="307"/>
    </row>
    <row r="62" spans="1:10" ht="13.5" thickBot="1" x14ac:dyDescent="0.25">
      <c r="A62" s="116" t="s">
        <v>118</v>
      </c>
      <c r="B62" s="117" t="s">
        <v>46</v>
      </c>
      <c r="C62" s="117" t="s">
        <v>47</v>
      </c>
      <c r="D62" s="117" t="s">
        <v>49</v>
      </c>
      <c r="E62" s="117" t="s">
        <v>48</v>
      </c>
      <c r="F62" s="118" t="s">
        <v>119</v>
      </c>
    </row>
    <row r="63" spans="1:10" ht="13.5" thickTop="1" x14ac:dyDescent="0.2">
      <c r="A63" s="110" t="s">
        <v>45</v>
      </c>
      <c r="B63" s="111" t="e">
        <f>D20/E20</f>
        <v>#DIV/0!</v>
      </c>
      <c r="C63" s="112" t="s">
        <v>44</v>
      </c>
      <c r="D63" s="113" t="e">
        <f>B63</f>
        <v>#DIV/0!</v>
      </c>
      <c r="E63" s="114" t="s">
        <v>50</v>
      </c>
      <c r="F63" s="115" t="e">
        <f>D63</f>
        <v>#DIV/0!</v>
      </c>
    </row>
    <row r="64" spans="1:10" ht="12.75" x14ac:dyDescent="0.2">
      <c r="A64" s="110" t="s">
        <v>167</v>
      </c>
      <c r="B64" s="111">
        <f>C58/4</f>
        <v>0</v>
      </c>
      <c r="C64" s="235" t="s">
        <v>39</v>
      </c>
      <c r="D64" s="113">
        <f>B64</f>
        <v>0</v>
      </c>
      <c r="E64" s="236" t="s">
        <v>56</v>
      </c>
      <c r="F64" s="67">
        <f>ABS(D64/3^0.5)</f>
        <v>0</v>
      </c>
    </row>
    <row r="65" spans="1:8" ht="18.75" customHeight="1" x14ac:dyDescent="0.2">
      <c r="A65" s="65" t="s">
        <v>128</v>
      </c>
      <c r="B65" s="103">
        <f>B11</f>
        <v>0</v>
      </c>
      <c r="C65" s="66" t="s">
        <v>39</v>
      </c>
      <c r="D65" s="97">
        <f>B65</f>
        <v>0</v>
      </c>
      <c r="E65" s="50" t="s">
        <v>50</v>
      </c>
      <c r="F65" s="98">
        <f>D65</f>
        <v>0</v>
      </c>
      <c r="G65" s="354" t="s">
        <v>126</v>
      </c>
      <c r="H65" s="355"/>
    </row>
    <row r="66" spans="1:8" ht="12.75" x14ac:dyDescent="0.2">
      <c r="A66" s="65" t="s">
        <v>51</v>
      </c>
      <c r="B66" s="91">
        <f>F12</f>
        <v>0</v>
      </c>
      <c r="C66" s="66" t="s">
        <v>12</v>
      </c>
      <c r="D66" s="93" t="e">
        <f>(C50*C47)-(C50*G66)+(D26-D27)*(B20+C20)/D25*(1-C40/F20)*(1/(C44-C40))-(D26-D27)*(B20+C20)/D25*(1-C40/F20)*(1/(H66-C40))</f>
        <v>#DIV/0!</v>
      </c>
      <c r="E66" s="50" t="s">
        <v>56</v>
      </c>
      <c r="F66" s="98" t="e">
        <f>ABS(D66/3^0.5)</f>
        <v>#DIV/0!</v>
      </c>
      <c r="G66" s="95">
        <f>ROUND((1-B7*(I27+B66-D7)),6)</f>
        <v>1</v>
      </c>
      <c r="H66" s="94">
        <f>ROUND(((999.97495*(1-(((I27+B66-3.983035)^2*(I27+B66+301.797))/(522528.9*(I27+B66+69.34881)))))/1000)+(-4.612+0.106*I27+B66)/1000000,8)</f>
        <v>0.99983820999999995</v>
      </c>
    </row>
    <row r="67" spans="1:8" ht="12.75" x14ac:dyDescent="0.2">
      <c r="A67" s="65" t="s">
        <v>60</v>
      </c>
      <c r="B67" s="91">
        <v>9.9999999999999995E-7</v>
      </c>
      <c r="C67" s="68" t="s">
        <v>111</v>
      </c>
      <c r="D67" s="93" t="e">
        <f>(C50*C47)-(C50*G67)</f>
        <v>#DIV/0!</v>
      </c>
      <c r="E67" s="50" t="s">
        <v>56</v>
      </c>
      <c r="F67" s="98" t="e">
        <f>ABS(D67/(3^0.5))</f>
        <v>#DIV/0!</v>
      </c>
      <c r="G67" s="95">
        <f>ROUND((1-(B7+B67)*(I27-D7)),6)</f>
        <v>1.0000199999999999</v>
      </c>
      <c r="H67" s="100"/>
    </row>
    <row r="68" spans="1:8" ht="15.75" x14ac:dyDescent="0.2">
      <c r="A68" s="65" t="s">
        <v>24</v>
      </c>
      <c r="B68" s="91">
        <v>3.9999999999999998E-6</v>
      </c>
      <c r="C68" s="66" t="s">
        <v>84</v>
      </c>
      <c r="D68" s="93" t="e">
        <f>(D26-D27)*(B20+C20)/D25*(1-C40/F20)*(1/(C44-C40))-(D26-D27)*(B20+C20)/D25*(1-C40/F20)*(1/(G68-C40))</f>
        <v>#DIV/0!</v>
      </c>
      <c r="E68" s="50" t="s">
        <v>56</v>
      </c>
      <c r="F68" s="98" t="e">
        <f>ABS(D68/(3^0.5))</f>
        <v>#DIV/0!</v>
      </c>
      <c r="G68" s="95">
        <f>C44+B68</f>
        <v>0.99984220999999995</v>
      </c>
      <c r="H68" s="100"/>
    </row>
    <row r="69" spans="1:8" ht="12.75" x14ac:dyDescent="0.2">
      <c r="A69" s="65" t="s">
        <v>135</v>
      </c>
      <c r="B69" s="91">
        <f>F9</f>
        <v>0</v>
      </c>
      <c r="C69" s="66" t="s">
        <v>12</v>
      </c>
      <c r="D69" s="91" t="e">
        <f>(D26-D27)*(B20+C20)/D25*(1-C40/F20)*(1/(C44-C40))-(D26-D27)*(B20+C20)/D25*(1-G69/F20)*(1/(C44-G69))</f>
        <v>#DIV/0!</v>
      </c>
      <c r="E69" s="50" t="s">
        <v>56</v>
      </c>
      <c r="F69" s="98" t="e">
        <f>ABS(D69/(3^0.5))</f>
        <v>#DIV/0!</v>
      </c>
      <c r="G69" s="91" t="e">
        <f>(ROUND(((((G10*(133.322368421053))*(0.02896546))/((1-(((G10*133.322368421053)/(H69+273.15))*((0.00000158123)+((-0.000000029331)*(H69))+(0.00000000011043*H69^2)+(((0.000005707)+(-0.00000002051*H69))*((G11/100)*((1.00062+0.0000000314*(G10*133.322368421053)+0.00000056*H69^2)*((EXP(0.000012378847*(H69+273.15)^2+(-0.019121316*(H69+273.15))+33.93711047+(-6343.1645/(H69+273.15))))/(G10*133.322368421053)))))+((0.00019898+(-0.000002376*H69))*(((G11/100)*((1.00062+0.0000000314*(G10*133.322368421053)+0.00000056*H69^2)*((EXP(0.000012378847*(H69+273.15)^2+(-0.019121316)*(H69+273.15)+33.93711047+(-6343.1645)/(H69+273.15)))/(G10*133.322368421053))))^2))))+(((G10*133.322368421053)^2/((H69+273.15)^2)*(0.0000000000183+(-0.00000000765*(((G11/100)*((1.00062+0.0000000314*(G10*133.322368421053)+0.00000056*H69^2)*((EXP(0.000012378847*(H69+273.15)^2+(-0.019121316)*(H69+273.15)+33.93711047+(-6343.1645)/(H69+273.15)))/(G10*133.322368421053))))^2))))))*(8.314472)*(H69+273.15)))*(1-((0.378*((G11/100)*((1.00062+0.0000000314*(G10*133.322368421053)+0.00000056*H69^2)*((EXP(0.000012378847*(H69+273.15)^2+(-0.019121316)*(H69+273.15)+33.93711047+(-6343.1645)/(H69+273.15)))/(G10*133.322368421053)))))))),9))/1000</f>
        <v>#DIV/0!</v>
      </c>
      <c r="H69" s="101" t="e">
        <f>(G9+B69)</f>
        <v>#DIV/0!</v>
      </c>
    </row>
    <row r="70" spans="1:8" ht="12.75" x14ac:dyDescent="0.2">
      <c r="A70" s="65" t="s">
        <v>52</v>
      </c>
      <c r="B70" s="91">
        <f>F10</f>
        <v>0</v>
      </c>
      <c r="C70" s="66" t="s">
        <v>9</v>
      </c>
      <c r="D70" s="91" t="e">
        <f>(D26-D27)*(B20+C20)/D25*(1-C40/F20)*(1/(C44-C40))-(D26-D27)*(B20+C20)/D25*(1-G70/F20)*(1/(C44-G70))</f>
        <v>#DIV/0!</v>
      </c>
      <c r="E70" s="50" t="s">
        <v>56</v>
      </c>
      <c r="F70" s="98" t="e">
        <f>ABS(D70/(3^0.5))</f>
        <v>#DIV/0!</v>
      </c>
      <c r="G70" s="91" t="e">
        <f>(ROUND(((((H70*(133.322368421053))*(0.02896546))/((1-(((H70*133.322368421053)/(G9+273.15))*((0.00000158123)+((-0.000000029331)*(G9))+(0.00000000011043*G9^2)+(((0.000005707)+(-0.00000002051*G9))*((G11/100)*((1.00062+0.0000000314*(H70*133.322368421053)+0.00000056*G9^2)*((EXP(0.000012378847*(G9+273.15)^2+(-0.019121316*(G9+273.15))+33.93711047+(-6343.1645/(G9+273.15))))/(H70*133.322368421053)))))+((0.00019898+(-0.000002376*G9))*(((G11/100)*((1.00062+0.0000000314*(H70*133.322368421053)+0.00000056*G9^2)*((EXP(0.000012378847*(G9+273.15)^2+(-0.019121316)*(G9+273.15)+33.93711047+(-6343.1645)/(G9+273.15)))/(H70*133.322368421053))))^2))))+(((H70*133.322368421053)^2/((G9+273.15)^2)*(0.0000000000183+(-0.00000000765*(((G11/100)*((1.00062+0.0000000314*(H70*133.322368421053)+0.00000056*G9^2)*((EXP(0.000012378847*(G9+273.15)^2+(-0.019121316)*(G9+273.15)+33.93711047+(-6343.1645)/(G9+273.15)))/(H70*133.322368421053))))^2))))))*(8.314472)*(G9+273.15)))*(1-((0.378*((G11/100)*((1.00062+0.0000000314*(H70*133.322368421053)+0.00000056*G9^2)*((EXP(0.000012378847*(G9+273.15)^2+(-0.019121316)*(G9+273.15)+33.93711047+(-6343.1645)/(G9+273.15)))/(H70*133.322368421053)))))))),9))/1000</f>
        <v>#DIV/0!</v>
      </c>
      <c r="H70" s="101" t="e">
        <f>(G10+B70)</f>
        <v>#DIV/0!</v>
      </c>
    </row>
    <row r="71" spans="1:8" ht="12.75" x14ac:dyDescent="0.2">
      <c r="A71" s="65" t="s">
        <v>53</v>
      </c>
      <c r="B71" s="91">
        <f>F11</f>
        <v>0</v>
      </c>
      <c r="C71" s="66" t="s">
        <v>15</v>
      </c>
      <c r="D71" s="91" t="e">
        <f>(D26-D27)*(B20+C20)/D25*(1-C40/F20)*(1/(C44-C40))-(D26-D27)*(B20+C20)/D25*(1-G71/F20)*(1/(C44-G71))</f>
        <v>#DIV/0!</v>
      </c>
      <c r="E71" s="50" t="s">
        <v>56</v>
      </c>
      <c r="F71" s="98" t="e">
        <f>ABS(D71/(3^0.5))</f>
        <v>#DIV/0!</v>
      </c>
      <c r="G71" s="91" t="e">
        <f>(ROUND(((((G10*(133.322368421053))*(0.02896546))/((1-(((G10*133.322368421053)/(G9+273.15))*((0.00000158123)+((-0.000000029331)*(G9))+(0.00000000011043*G9^2)+(((0.000005707)+(-0.00000002051*G9))*((H71/100)*((1.00062+0.0000000314*(G10*133.322368421053)+0.00000056*G9^2)*((EXP(0.000012378847*(G9+273.15)^2+(-0.019121316*(G9+273.15))+33.93711047+(-6343.1645/(G9+273.15))))/(G10*133.322368421053)))))+((0.00019898+(-0.000002376*G9))*(((H71/100)*((1.00062+0.0000000314*(G10*133.322368421053)+0.00000056*G9^2)*((EXP(0.000012378847*(G9+273.15)^2+(-0.019121316)*(G9+273.15)+33.93711047+(-6343.1645)/(G9+273.15)))/(G10*133.322368421053))))^2))))+(((G10*133.322368421053)^2/((G9+273.15)^2)*(0.0000000000183+(-0.00000000765*(((H71/100)*((1.00062+0.0000000314*(G10*133.322368421053)+0.00000056*G9^2)*((EXP(0.000012378847*(G9+273.15)^2+(-0.019121316)*(G9+273.15)+33.93711047+(-6343.1645)/(G9+273.15)))/(G10*133.322368421053))))^2))))))*(8.314472)*(G9+273.15)))*(1-((0.378*((H71/100)*((1.00062+0.0000000314*(G10*133.322368421053)+0.00000056*G9^2)*((EXP(0.000012378847*(G9+273.15)^2+(-0.019121316)*(G9+273.15)+33.93711047+(-6343.1645)/(G9+273.15)))/(G10*133.322368421053)))))))),9))/1000</f>
        <v>#DIV/0!</v>
      </c>
      <c r="H71" s="101" t="e">
        <f>(G11+B71)</f>
        <v>#DIV/0!</v>
      </c>
    </row>
    <row r="72" spans="1:8" ht="15.75" x14ac:dyDescent="0.2">
      <c r="A72" s="65" t="s">
        <v>54</v>
      </c>
      <c r="B72" s="91" t="e">
        <f>0.000022*AVERAGE(C39:C40)*1000</f>
        <v>#DIV/0!</v>
      </c>
      <c r="C72" s="66" t="s">
        <v>88</v>
      </c>
      <c r="D72" s="91" t="e">
        <f>(D26-D27)*(B20+C20)/D25*(1-(C40)/F20)*(1/(C44-C40))-(D26-D27)*(B20+C20)/D25*(1-(C40+B72/1000)/F20)*(1/(C44-(C40+B72/1000)))</f>
        <v>#DIV/0!</v>
      </c>
      <c r="E72" s="50" t="s">
        <v>50</v>
      </c>
      <c r="F72" s="98" t="e">
        <f>ABS(D72)</f>
        <v>#DIV/0!</v>
      </c>
      <c r="G72" s="92"/>
      <c r="H72" s="99"/>
    </row>
    <row r="73" spans="1:8" ht="15.75" x14ac:dyDescent="0.2">
      <c r="A73" s="65" t="s">
        <v>55</v>
      </c>
      <c r="B73" s="91">
        <v>0.05</v>
      </c>
      <c r="C73" s="66" t="s">
        <v>84</v>
      </c>
      <c r="D73" s="91" t="e">
        <f>(D26-D27)*(B20+C20)/D25*(1-C40/F20)*(1/(C44-C40))-(D26-D27)*(B20+C20)/D25*(1-C40/(F20+B73))*(1/(C44-C40))</f>
        <v>#DIV/0!</v>
      </c>
      <c r="E73" s="50" t="s">
        <v>56</v>
      </c>
      <c r="F73" s="98" t="e">
        <f>ABS(D73/(3^0.5))</f>
        <v>#DIV/0!</v>
      </c>
      <c r="G73" s="92"/>
      <c r="H73" s="99"/>
    </row>
    <row r="74" spans="1:8" ht="12.75" x14ac:dyDescent="0.2">
      <c r="A74" s="274"/>
      <c r="B74" s="291"/>
      <c r="C74" s="291"/>
      <c r="D74" s="325"/>
      <c r="E74" s="69" t="s">
        <v>57</v>
      </c>
      <c r="F74" s="67" t="e">
        <f>(F63^2+F65^2+F66^2+F67^2+F68^2+F69^2+F70^2+F71^2+F72^2+F73^2)^0.5</f>
        <v>#DIV/0!</v>
      </c>
    </row>
    <row r="75" spans="1:8" ht="15.75" thickBot="1" x14ac:dyDescent="0.3">
      <c r="A75" s="297" t="s">
        <v>130</v>
      </c>
      <c r="B75" s="298"/>
      <c r="C75" s="106" t="e">
        <f>ROUND(TINV(0.0455,B12),2)</f>
        <v>#NUM!</v>
      </c>
      <c r="D75" s="107"/>
      <c r="E75" s="108" t="s">
        <v>112</v>
      </c>
      <c r="F75" s="109" t="e">
        <f>F74*C75</f>
        <v>#DIV/0!</v>
      </c>
    </row>
    <row r="76" spans="1:8" ht="12.75" customHeight="1" thickTop="1" x14ac:dyDescent="0.2"/>
    <row r="77" spans="1:8" ht="12.75" x14ac:dyDescent="0.2">
      <c r="A77" s="41"/>
      <c r="B77" s="41"/>
    </row>
    <row r="78" spans="1:8" ht="12.75" hidden="1" x14ac:dyDescent="0.2"/>
    <row r="79" spans="1:8" ht="12.75" customHeight="1" x14ac:dyDescent="0.2"/>
    <row r="80" spans="1:8"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sheetData>
  <sheetProtection password="FFED" sheet="1" objects="1" scenarios="1"/>
  <mergeCells count="60">
    <mergeCell ref="A61:F61"/>
    <mergeCell ref="G65:H65"/>
    <mergeCell ref="A74:D74"/>
    <mergeCell ref="A75:B75"/>
    <mergeCell ref="H4:J4"/>
    <mergeCell ref="D56:F56"/>
    <mergeCell ref="D57:F57"/>
    <mergeCell ref="D59:F59"/>
    <mergeCell ref="G49:H49"/>
    <mergeCell ref="A53:C53"/>
    <mergeCell ref="A54:B54"/>
    <mergeCell ref="A55:B55"/>
    <mergeCell ref="A56:C56"/>
    <mergeCell ref="D58:F58"/>
    <mergeCell ref="A46:C46"/>
    <mergeCell ref="D46:F46"/>
    <mergeCell ref="D47:F47"/>
    <mergeCell ref="D48:F48"/>
    <mergeCell ref="A49:C49"/>
    <mergeCell ref="D49:F49"/>
    <mergeCell ref="D41:F41"/>
    <mergeCell ref="A42:F42"/>
    <mergeCell ref="A43:C43"/>
    <mergeCell ref="D43:F43"/>
    <mergeCell ref="D44:F44"/>
    <mergeCell ref="D45:F45"/>
    <mergeCell ref="D40:F40"/>
    <mergeCell ref="D28:G28"/>
    <mergeCell ref="D30:G30"/>
    <mergeCell ref="D31:G31"/>
    <mergeCell ref="D32:G32"/>
    <mergeCell ref="A29:G29"/>
    <mergeCell ref="A35:B35"/>
    <mergeCell ref="D35:G35"/>
    <mergeCell ref="A36:B36"/>
    <mergeCell ref="D36:G36"/>
    <mergeCell ref="A38:F38"/>
    <mergeCell ref="A39:C39"/>
    <mergeCell ref="D39:F39"/>
    <mergeCell ref="A22:F22"/>
    <mergeCell ref="D23:G23"/>
    <mergeCell ref="D25:G25"/>
    <mergeCell ref="D26:G26"/>
    <mergeCell ref="D27:G27"/>
    <mergeCell ref="A24:G24"/>
    <mergeCell ref="A21:F21"/>
    <mergeCell ref="A1:J1"/>
    <mergeCell ref="A2:J2"/>
    <mergeCell ref="D4:G4"/>
    <mergeCell ref="D5:G5"/>
    <mergeCell ref="D6:G6"/>
    <mergeCell ref="C12:E12"/>
    <mergeCell ref="A13:F13"/>
    <mergeCell ref="A14:A15"/>
    <mergeCell ref="B14:B15"/>
    <mergeCell ref="C14:C15"/>
    <mergeCell ref="D14:D15"/>
    <mergeCell ref="E14:E15"/>
    <mergeCell ref="F14:F15"/>
    <mergeCell ref="G14:G15"/>
  </mergeCells>
  <conditionalFormatting sqref="D58">
    <cfRule type="containsText" dxfId="1" priority="1" operator="containsText" text="Pass">
      <formula>NOT(ISERROR(SEARCH("Pass",D58)))</formula>
    </cfRule>
  </conditionalFormatting>
  <pageMargins left="0.7" right="0.7" top="0.75" bottom="0.75" header="0.3" footer="0.3"/>
  <pageSetup scale="65" fitToHeight="2" orientation="landscape" r:id="rId1"/>
  <headerFooter alignWithMargins="0">
    <oddHeader>&amp;C&amp;"Times New Roman,Regular"&amp;F</oddHeader>
    <oddFooter>&amp;C&amp;"Times New Roman,Regular"Page &amp;P of &amp;N</oddFooter>
  </headerFooter>
  <rowBreaks count="1" manualBreakCount="1">
    <brk id="37" max="9" man="1"/>
  </rowBreaks>
  <drawing r:id="rId2"/>
  <legacyDrawing r:id="rId3"/>
  <oleObjects>
    <mc:AlternateContent xmlns:mc="http://schemas.openxmlformats.org/markup-compatibility/2006">
      <mc:Choice Requires="x14">
        <oleObject progId="Equation.3" shapeId="34822" r:id="rId4">
          <objectPr defaultSize="0" autoPict="0" r:id="rId5">
            <anchor moveWithCells="1" sizeWithCells="1">
              <from>
                <xdr:col>6</xdr:col>
                <xdr:colOff>142875</xdr:colOff>
                <xdr:row>52</xdr:row>
                <xdr:rowOff>38100</xdr:rowOff>
              </from>
              <to>
                <xdr:col>7</xdr:col>
                <xdr:colOff>1285875</xdr:colOff>
                <xdr:row>53</xdr:row>
                <xdr:rowOff>142875</xdr:rowOff>
              </to>
            </anchor>
          </objectPr>
        </oleObject>
      </mc:Choice>
      <mc:Fallback>
        <oleObject progId="Equation.3" shapeId="34822" r:id="rId4"/>
      </mc:Fallback>
    </mc:AlternateContent>
    <mc:AlternateContent xmlns:mc="http://schemas.openxmlformats.org/markup-compatibility/2006">
      <mc:Choice Requires="x14">
        <oleObject progId="Equation.3" shapeId="34824" r:id="rId6">
          <objectPr defaultSize="0" autoPict="0" r:id="rId7">
            <anchor moveWithCells="1" sizeWithCells="1">
              <from>
                <xdr:col>6</xdr:col>
                <xdr:colOff>85725</xdr:colOff>
                <xdr:row>45</xdr:row>
                <xdr:rowOff>114300</xdr:rowOff>
              </from>
              <to>
                <xdr:col>7</xdr:col>
                <xdr:colOff>657225</xdr:colOff>
                <xdr:row>47</xdr:row>
                <xdr:rowOff>66675</xdr:rowOff>
              </to>
            </anchor>
          </objectPr>
        </oleObject>
      </mc:Choice>
      <mc:Fallback>
        <oleObject progId="Equation.3" shapeId="34824" r:id="rId6"/>
      </mc:Fallback>
    </mc:AlternateContent>
    <mc:AlternateContent xmlns:mc="http://schemas.openxmlformats.org/markup-compatibility/2006">
      <mc:Choice Requires="x14">
        <oleObject progId="Equation.3" shapeId="34825" r:id="rId8">
          <objectPr defaultSize="0" autoPict="0" r:id="rId9">
            <anchor moveWithCells="1" sizeWithCells="1">
              <from>
                <xdr:col>6</xdr:col>
                <xdr:colOff>66675</xdr:colOff>
                <xdr:row>48</xdr:row>
                <xdr:rowOff>104775</xdr:rowOff>
              </from>
              <to>
                <xdr:col>7</xdr:col>
                <xdr:colOff>1247775</xdr:colOff>
                <xdr:row>51</xdr:row>
                <xdr:rowOff>85725</xdr:rowOff>
              </to>
            </anchor>
          </objectPr>
        </oleObject>
      </mc:Choice>
      <mc:Fallback>
        <oleObject progId="Equation.3" shapeId="34825" r:id="rId8"/>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transitionEntry="1"/>
  <dimension ref="A1:S87"/>
  <sheetViews>
    <sheetView showGridLines="0" zoomScaleNormal="100" workbookViewId="0">
      <selection activeCell="H40" sqref="H40"/>
    </sheetView>
  </sheetViews>
  <sheetFormatPr defaultColWidth="9.75" defaultRowHeight="0" customHeight="1" zeroHeight="1" x14ac:dyDescent="0.2"/>
  <cols>
    <col min="1" max="1" width="24.625" style="47" customWidth="1"/>
    <col min="2" max="2" width="20.25" style="47" customWidth="1"/>
    <col min="3" max="3" width="15.125" style="47" customWidth="1"/>
    <col min="4" max="5" width="9.75" style="47" customWidth="1"/>
    <col min="6" max="6" width="11" style="47" customWidth="1"/>
    <col min="7" max="7" width="12.5" style="47" customWidth="1"/>
    <col min="8" max="8" width="18.25" style="47" customWidth="1"/>
    <col min="9" max="9" width="11.875" style="47" customWidth="1"/>
    <col min="10" max="10" width="11.375" style="47" customWidth="1"/>
    <col min="11" max="19" width="9.75" style="62"/>
    <col min="20" max="16384" width="9.75" style="47"/>
  </cols>
  <sheetData>
    <row r="1" spans="1:10" ht="14.25" thickTop="1" thickBot="1" x14ac:dyDescent="0.25">
      <c r="A1" s="246" t="s">
        <v>81</v>
      </c>
      <c r="B1" s="247"/>
      <c r="C1" s="247"/>
      <c r="D1" s="247"/>
      <c r="E1" s="247"/>
      <c r="F1" s="247"/>
      <c r="G1" s="247"/>
      <c r="H1" s="247"/>
      <c r="I1" s="247"/>
      <c r="J1" s="248"/>
    </row>
    <row r="2" spans="1:10" ht="14.25" thickTop="1" thickBot="1" x14ac:dyDescent="0.25">
      <c r="A2" s="249" t="s">
        <v>83</v>
      </c>
      <c r="B2" s="250"/>
      <c r="C2" s="250"/>
      <c r="D2" s="250"/>
      <c r="E2" s="250"/>
      <c r="F2" s="250"/>
      <c r="G2" s="250"/>
      <c r="H2" s="250"/>
      <c r="I2" s="250"/>
      <c r="J2" s="251"/>
    </row>
    <row r="3" spans="1:10" ht="14.25" thickTop="1" thickBot="1" x14ac:dyDescent="0.25">
      <c r="A3" s="136" t="s">
        <v>144</v>
      </c>
      <c r="B3" s="136"/>
      <c r="C3" s="136"/>
      <c r="D3" s="138"/>
      <c r="E3" s="138"/>
      <c r="F3" s="138"/>
    </row>
    <row r="4" spans="1:10" ht="14.25" thickTop="1" thickBot="1" x14ac:dyDescent="0.25">
      <c r="A4" s="51" t="s">
        <v>121</v>
      </c>
      <c r="B4" s="242"/>
      <c r="C4" s="52" t="s">
        <v>97</v>
      </c>
      <c r="D4" s="341"/>
      <c r="E4" s="342"/>
      <c r="F4" s="342"/>
      <c r="G4" s="343"/>
      <c r="H4" s="275" t="s">
        <v>146</v>
      </c>
      <c r="I4" s="276"/>
      <c r="J4" s="277"/>
    </row>
    <row r="5" spans="1:10" ht="13.5" thickTop="1" x14ac:dyDescent="0.2">
      <c r="A5" s="53" t="s">
        <v>93</v>
      </c>
      <c r="B5" s="89"/>
      <c r="C5" s="54" t="s">
        <v>70</v>
      </c>
      <c r="D5" s="344"/>
      <c r="E5" s="345"/>
      <c r="F5" s="345"/>
      <c r="G5" s="346"/>
      <c r="H5" s="234" t="s">
        <v>165</v>
      </c>
      <c r="I5" s="165"/>
      <c r="J5" s="166"/>
    </row>
    <row r="6" spans="1:10" ht="12.75" x14ac:dyDescent="0.2">
      <c r="A6" s="55" t="s">
        <v>71</v>
      </c>
      <c r="B6" s="243"/>
      <c r="C6" s="127" t="s">
        <v>72</v>
      </c>
      <c r="D6" s="347"/>
      <c r="E6" s="348"/>
      <c r="F6" s="348"/>
      <c r="G6" s="349"/>
      <c r="H6" s="167"/>
      <c r="I6" s="168"/>
      <c r="J6" s="169"/>
    </row>
    <row r="7" spans="1:10" ht="27" customHeight="1" x14ac:dyDescent="0.2">
      <c r="A7" s="55" t="s">
        <v>77</v>
      </c>
      <c r="B7" s="188"/>
      <c r="C7" s="128" t="s">
        <v>141</v>
      </c>
      <c r="D7" s="241">
        <v>20</v>
      </c>
      <c r="E7" s="163"/>
      <c r="F7" s="163"/>
      <c r="G7" s="164"/>
      <c r="H7" s="167"/>
      <c r="I7" s="168"/>
      <c r="J7" s="169"/>
    </row>
    <row r="8" spans="1:10" ht="25.5" x14ac:dyDescent="0.2">
      <c r="A8" s="55" t="s">
        <v>145</v>
      </c>
      <c r="B8" s="188"/>
      <c r="C8" s="54"/>
      <c r="D8" s="140" t="s">
        <v>142</v>
      </c>
      <c r="E8" s="140" t="s">
        <v>143</v>
      </c>
      <c r="F8" s="50" t="s">
        <v>96</v>
      </c>
      <c r="G8" s="129" t="s">
        <v>124</v>
      </c>
      <c r="H8" s="167"/>
      <c r="I8" s="168"/>
      <c r="J8" s="169"/>
    </row>
    <row r="9" spans="1:10" ht="18.75" customHeight="1" x14ac:dyDescent="0.2">
      <c r="A9" s="55" t="s">
        <v>75</v>
      </c>
      <c r="B9" s="243"/>
      <c r="C9" s="77" t="s">
        <v>132</v>
      </c>
      <c r="D9" s="119" t="e">
        <f>AVERAGE(I24:J24)</f>
        <v>#DIV/0!</v>
      </c>
      <c r="E9" s="119" t="e">
        <f>AVERAGE(I29:J29)</f>
        <v>#DIV/0!</v>
      </c>
      <c r="F9" s="89"/>
      <c r="G9" s="130" t="e">
        <f>AVERAGE(D9:E9)</f>
        <v>#DIV/0!</v>
      </c>
      <c r="H9" s="167"/>
      <c r="I9" s="168"/>
      <c r="J9" s="169"/>
    </row>
    <row r="10" spans="1:10" ht="18.75" customHeight="1" x14ac:dyDescent="0.2">
      <c r="A10" s="55" t="s">
        <v>94</v>
      </c>
      <c r="B10" s="188"/>
      <c r="C10" s="77" t="s">
        <v>133</v>
      </c>
      <c r="D10" s="119" t="e">
        <f>AVERAGE(I25:J25)</f>
        <v>#DIV/0!</v>
      </c>
      <c r="E10" s="119" t="e">
        <f>AVERAGE(I30:J30)</f>
        <v>#DIV/0!</v>
      </c>
      <c r="F10" s="89"/>
      <c r="G10" s="130" t="e">
        <f>AVERAGE(D10:E10)</f>
        <v>#DIV/0!</v>
      </c>
      <c r="H10" s="167"/>
      <c r="I10" s="168"/>
      <c r="J10" s="169"/>
    </row>
    <row r="11" spans="1:10" ht="27" customHeight="1" x14ac:dyDescent="0.2">
      <c r="A11" s="55" t="s">
        <v>95</v>
      </c>
      <c r="B11" s="188"/>
      <c r="C11" s="77" t="s">
        <v>134</v>
      </c>
      <c r="D11" s="119" t="e">
        <f>AVERAGE(I26:J26)</f>
        <v>#DIV/0!</v>
      </c>
      <c r="E11" s="119" t="e">
        <f>AVERAGE(I31:J31)</f>
        <v>#DIV/0!</v>
      </c>
      <c r="F11" s="89"/>
      <c r="G11" s="130" t="e">
        <f>AVERAGE(D11:E11)</f>
        <v>#DIV/0!</v>
      </c>
      <c r="H11" s="167"/>
      <c r="I11" s="168"/>
      <c r="J11" s="169"/>
    </row>
    <row r="12" spans="1:10" ht="26.25" customHeight="1" thickBot="1" x14ac:dyDescent="0.25">
      <c r="A12" s="56" t="s">
        <v>76</v>
      </c>
      <c r="B12" s="189"/>
      <c r="C12" s="261" t="s">
        <v>156</v>
      </c>
      <c r="D12" s="262"/>
      <c r="E12" s="263"/>
      <c r="F12" s="174"/>
      <c r="G12" s="131"/>
      <c r="H12" s="167"/>
      <c r="I12" s="168"/>
      <c r="J12" s="169"/>
    </row>
    <row r="13" spans="1:10" ht="14.25" thickTop="1" thickBot="1" x14ac:dyDescent="0.25">
      <c r="A13" s="264" t="s">
        <v>78</v>
      </c>
      <c r="B13" s="264"/>
      <c r="C13" s="264"/>
      <c r="D13" s="265"/>
      <c r="E13" s="265"/>
      <c r="F13" s="265"/>
      <c r="G13" s="48"/>
      <c r="H13" s="167"/>
      <c r="I13" s="168"/>
      <c r="J13" s="169"/>
    </row>
    <row r="14" spans="1:10" ht="39" customHeight="1" thickTop="1" x14ac:dyDescent="0.2">
      <c r="A14" s="266" t="s">
        <v>100</v>
      </c>
      <c r="B14" s="268" t="s">
        <v>102</v>
      </c>
      <c r="C14" s="268" t="s">
        <v>103</v>
      </c>
      <c r="D14" s="270" t="s">
        <v>157</v>
      </c>
      <c r="E14" s="268" t="s">
        <v>101</v>
      </c>
      <c r="F14" s="271" t="s">
        <v>104</v>
      </c>
      <c r="G14" s="350" t="s">
        <v>125</v>
      </c>
      <c r="H14" s="167"/>
      <c r="I14" s="168"/>
      <c r="J14" s="169"/>
    </row>
    <row r="15" spans="1:10" ht="13.5" thickBot="1" x14ac:dyDescent="0.25">
      <c r="A15" s="267"/>
      <c r="B15" s="269"/>
      <c r="C15" s="269"/>
      <c r="D15" s="269"/>
      <c r="E15" s="269"/>
      <c r="F15" s="272"/>
      <c r="G15" s="351"/>
      <c r="H15" s="167"/>
      <c r="I15" s="168"/>
      <c r="J15" s="169"/>
    </row>
    <row r="16" spans="1:10" ht="13.5" thickTop="1" x14ac:dyDescent="0.2">
      <c r="A16" s="57" t="s">
        <v>79</v>
      </c>
      <c r="B16" s="70"/>
      <c r="C16" s="70"/>
      <c r="D16" s="70"/>
      <c r="E16" s="70"/>
      <c r="F16" s="71"/>
      <c r="G16" s="132" t="str">
        <f>IF(ISNUMBER(B16),B16/F16,"")</f>
        <v/>
      </c>
      <c r="H16" s="167"/>
      <c r="I16" s="168"/>
      <c r="J16" s="169"/>
    </row>
    <row r="17" spans="1:12" ht="12.75" x14ac:dyDescent="0.2">
      <c r="A17" s="58" t="s">
        <v>79</v>
      </c>
      <c r="B17" s="137"/>
      <c r="C17" s="137"/>
      <c r="D17" s="137"/>
      <c r="E17" s="137"/>
      <c r="F17" s="72"/>
      <c r="G17" s="132" t="str">
        <f>IF(ISNUMBER(B17),B17/F17,"")</f>
        <v/>
      </c>
      <c r="H17" s="167"/>
      <c r="I17" s="168"/>
      <c r="J17" s="169"/>
    </row>
    <row r="18" spans="1:12" ht="12.75" x14ac:dyDescent="0.2">
      <c r="A18" s="58" t="s">
        <v>79</v>
      </c>
      <c r="B18" s="137"/>
      <c r="C18" s="137"/>
      <c r="D18" s="137"/>
      <c r="E18" s="137"/>
      <c r="F18" s="72"/>
      <c r="G18" s="132" t="str">
        <f>IF(ISNUMBER(B18),B18/F18,"")</f>
        <v/>
      </c>
      <c r="H18" s="167"/>
      <c r="I18" s="168"/>
      <c r="J18" s="169"/>
    </row>
    <row r="19" spans="1:12" ht="13.5" thickBot="1" x14ac:dyDescent="0.25">
      <c r="A19" s="85" t="s">
        <v>79</v>
      </c>
      <c r="B19" s="86"/>
      <c r="C19" s="86"/>
      <c r="D19" s="86"/>
      <c r="E19" s="86"/>
      <c r="F19" s="87"/>
      <c r="G19" s="133" t="str">
        <f>IF(ISNUMBER(B19),B19/F19,"")</f>
        <v/>
      </c>
      <c r="H19" s="167"/>
      <c r="I19" s="168"/>
      <c r="J19" s="169"/>
    </row>
    <row r="20" spans="1:12" ht="20.25" customHeight="1" thickTop="1" thickBot="1" x14ac:dyDescent="0.25">
      <c r="A20" s="88" t="s">
        <v>123</v>
      </c>
      <c r="B20" s="104">
        <f>SUM(B16:B19)</f>
        <v>0</v>
      </c>
      <c r="C20" s="104">
        <f>SUM(C16:C19)</f>
        <v>0</v>
      </c>
      <c r="D20" s="104">
        <f>SUM(D16:D19)</f>
        <v>0</v>
      </c>
      <c r="E20" s="104" t="e">
        <f>AVERAGE(E16:E19)</f>
        <v>#DIV/0!</v>
      </c>
      <c r="F20" s="105" t="e">
        <f>ROUND(B20/G20,6)</f>
        <v>#DIV/0!</v>
      </c>
      <c r="G20" s="134">
        <f>SUM(G16:G19)</f>
        <v>0</v>
      </c>
      <c r="H20" s="170"/>
      <c r="I20" s="171"/>
      <c r="J20" s="172"/>
    </row>
    <row r="21" spans="1:12" ht="13.5" thickTop="1" x14ac:dyDescent="0.2">
      <c r="A21" s="245" t="s">
        <v>86</v>
      </c>
      <c r="B21" s="245"/>
      <c r="C21" s="245"/>
      <c r="D21" s="245"/>
      <c r="E21" s="245"/>
      <c r="F21" s="245"/>
    </row>
    <row r="22" spans="1:12" ht="13.5" thickBot="1" x14ac:dyDescent="0.25">
      <c r="A22" s="282" t="s">
        <v>138</v>
      </c>
      <c r="B22" s="282"/>
      <c r="C22" s="282"/>
      <c r="D22" s="282"/>
      <c r="E22" s="282"/>
      <c r="F22" s="282"/>
    </row>
    <row r="23" spans="1:12" ht="39" thickTop="1" x14ac:dyDescent="0.2">
      <c r="A23" s="59" t="s">
        <v>40</v>
      </c>
      <c r="B23" s="139" t="s">
        <v>120</v>
      </c>
      <c r="C23" s="139" t="s">
        <v>82</v>
      </c>
      <c r="D23" s="283" t="s">
        <v>131</v>
      </c>
      <c r="E23" s="283"/>
      <c r="F23" s="283"/>
      <c r="G23" s="283"/>
      <c r="H23" s="52"/>
      <c r="I23" s="139" t="s">
        <v>73</v>
      </c>
      <c r="J23" s="120" t="s">
        <v>74</v>
      </c>
    </row>
    <row r="24" spans="1:12" ht="20.100000000000001" customHeight="1" x14ac:dyDescent="0.2">
      <c r="A24" s="286"/>
      <c r="B24" s="287"/>
      <c r="C24" s="287"/>
      <c r="D24" s="287"/>
      <c r="E24" s="287"/>
      <c r="F24" s="287"/>
      <c r="G24" s="288"/>
      <c r="H24" s="54" t="s">
        <v>132</v>
      </c>
      <c r="I24" s="90"/>
      <c r="J24" s="122"/>
    </row>
    <row r="25" spans="1:12" ht="20.100000000000001" customHeight="1" x14ac:dyDescent="0.2">
      <c r="A25" s="60">
        <v>1</v>
      </c>
      <c r="B25" s="61" t="s">
        <v>90</v>
      </c>
      <c r="C25" s="121" t="s">
        <v>89</v>
      </c>
      <c r="D25" s="352"/>
      <c r="E25" s="352"/>
      <c r="F25" s="352"/>
      <c r="G25" s="352"/>
      <c r="H25" s="54" t="s">
        <v>133</v>
      </c>
      <c r="I25" s="90"/>
      <c r="J25" s="122"/>
    </row>
    <row r="26" spans="1:12" ht="20.100000000000001" customHeight="1" x14ac:dyDescent="0.2">
      <c r="A26" s="60">
        <v>2</v>
      </c>
      <c r="B26" s="159" t="s">
        <v>152</v>
      </c>
      <c r="C26" s="121" t="s">
        <v>91</v>
      </c>
      <c r="D26" s="352"/>
      <c r="E26" s="352"/>
      <c r="F26" s="352"/>
      <c r="G26" s="352"/>
      <c r="H26" s="54" t="s">
        <v>134</v>
      </c>
      <c r="I26" s="90"/>
      <c r="J26" s="122"/>
    </row>
    <row r="27" spans="1:12" ht="20.100000000000001" customHeight="1" thickBot="1" x14ac:dyDescent="0.25">
      <c r="A27" s="123">
        <v>3</v>
      </c>
      <c r="B27" s="124" t="s">
        <v>80</v>
      </c>
      <c r="C27" s="125" t="s">
        <v>92</v>
      </c>
      <c r="D27" s="353"/>
      <c r="E27" s="353"/>
      <c r="F27" s="353"/>
      <c r="G27" s="353"/>
      <c r="H27" s="124" t="s">
        <v>98</v>
      </c>
      <c r="I27" s="189"/>
      <c r="J27" s="126"/>
      <c r="K27" s="161"/>
      <c r="L27" s="161"/>
    </row>
    <row r="28" spans="1:12" ht="39" thickTop="1" x14ac:dyDescent="0.2">
      <c r="A28" s="59" t="s">
        <v>41</v>
      </c>
      <c r="B28" s="139" t="s">
        <v>120</v>
      </c>
      <c r="C28" s="139" t="s">
        <v>82</v>
      </c>
      <c r="D28" s="283" t="s">
        <v>131</v>
      </c>
      <c r="E28" s="283"/>
      <c r="F28" s="283"/>
      <c r="G28" s="283"/>
      <c r="H28" s="52"/>
      <c r="I28" s="139" t="s">
        <v>73</v>
      </c>
      <c r="J28" s="120" t="s">
        <v>74</v>
      </c>
    </row>
    <row r="29" spans="1:12" ht="20.100000000000001" customHeight="1" x14ac:dyDescent="0.2">
      <c r="A29" s="286"/>
      <c r="B29" s="287"/>
      <c r="C29" s="287"/>
      <c r="D29" s="287"/>
      <c r="E29" s="287"/>
      <c r="F29" s="287"/>
      <c r="G29" s="288"/>
      <c r="H29" s="54" t="s">
        <v>132</v>
      </c>
      <c r="I29" s="90"/>
      <c r="J29" s="90"/>
    </row>
    <row r="30" spans="1:12" ht="20.100000000000001" customHeight="1" x14ac:dyDescent="0.2">
      <c r="A30" s="60">
        <v>1</v>
      </c>
      <c r="B30" s="61" t="s">
        <v>90</v>
      </c>
      <c r="C30" s="121" t="s">
        <v>89</v>
      </c>
      <c r="D30" s="352"/>
      <c r="E30" s="352"/>
      <c r="F30" s="352"/>
      <c r="G30" s="352"/>
      <c r="H30" s="54" t="s">
        <v>133</v>
      </c>
      <c r="I30" s="90"/>
      <c r="J30" s="90"/>
    </row>
    <row r="31" spans="1:12" ht="20.100000000000001" customHeight="1" x14ac:dyDescent="0.2">
      <c r="A31" s="60">
        <v>2</v>
      </c>
      <c r="B31" s="159" t="s">
        <v>152</v>
      </c>
      <c r="C31" s="121" t="s">
        <v>91</v>
      </c>
      <c r="D31" s="352"/>
      <c r="E31" s="352"/>
      <c r="F31" s="352"/>
      <c r="G31" s="352"/>
      <c r="H31" s="54" t="s">
        <v>134</v>
      </c>
      <c r="I31" s="90"/>
      <c r="J31" s="90"/>
    </row>
    <row r="32" spans="1:12" ht="20.100000000000001" customHeight="1" thickBot="1" x14ac:dyDescent="0.25">
      <c r="A32" s="123">
        <v>3</v>
      </c>
      <c r="B32" s="124" t="s">
        <v>80</v>
      </c>
      <c r="C32" s="125" t="s">
        <v>92</v>
      </c>
      <c r="D32" s="353"/>
      <c r="E32" s="353"/>
      <c r="F32" s="353"/>
      <c r="G32" s="353"/>
      <c r="H32" s="124" t="s">
        <v>98</v>
      </c>
      <c r="I32" s="189"/>
      <c r="J32" s="126"/>
    </row>
    <row r="33" spans="1:10" ht="13.5" thickTop="1" x14ac:dyDescent="0.2">
      <c r="A33" s="102"/>
      <c r="B33" s="62"/>
      <c r="C33" s="62"/>
      <c r="D33" s="62"/>
      <c r="E33" s="62"/>
      <c r="F33" s="62"/>
      <c r="I33" s="74"/>
      <c r="J33" s="74"/>
    </row>
    <row r="34" spans="1:10" ht="13.5" thickBot="1" x14ac:dyDescent="0.25">
      <c r="A34" s="102"/>
      <c r="B34" s="62"/>
      <c r="C34" s="62"/>
      <c r="D34" s="62"/>
      <c r="E34" s="62"/>
      <c r="F34" s="62"/>
      <c r="I34" s="74"/>
      <c r="J34" s="74"/>
    </row>
    <row r="35" spans="1:10" ht="15.75" thickTop="1" x14ac:dyDescent="0.25">
      <c r="A35" s="278" t="s">
        <v>114</v>
      </c>
      <c r="B35" s="279"/>
      <c r="C35" s="146" t="e">
        <f>FIXED((AVERAGE(C54:C55)),(2-1-INT(LOG10(ABS(F75)))))</f>
        <v>#DIV/0!</v>
      </c>
      <c r="D35" s="280" t="s">
        <v>39</v>
      </c>
      <c r="E35" s="280"/>
      <c r="F35" s="280"/>
      <c r="G35" s="281"/>
      <c r="I35" s="74"/>
      <c r="J35" s="74"/>
    </row>
    <row r="36" spans="1:10" ht="15.75" thickBot="1" x14ac:dyDescent="0.3">
      <c r="A36" s="326" t="s">
        <v>113</v>
      </c>
      <c r="B36" s="327"/>
      <c r="C36" s="173" t="e">
        <f>FIXED(F75,2-1-INT(LOG10(ABS(F75))))</f>
        <v>#DIV/0!</v>
      </c>
      <c r="D36" s="328" t="s">
        <v>39</v>
      </c>
      <c r="E36" s="328"/>
      <c r="F36" s="328"/>
      <c r="G36" s="329"/>
    </row>
    <row r="37" spans="1:10" ht="13.5" thickTop="1" x14ac:dyDescent="0.2">
      <c r="A37" s="102"/>
      <c r="B37" s="62"/>
      <c r="C37" s="62"/>
      <c r="D37" s="62"/>
      <c r="E37" s="62"/>
      <c r="F37" s="62"/>
      <c r="I37" s="74"/>
      <c r="J37" s="74"/>
    </row>
    <row r="38" spans="1:10" ht="13.5" thickBot="1" x14ac:dyDescent="0.25">
      <c r="A38" s="330" t="s">
        <v>99</v>
      </c>
      <c r="B38" s="330"/>
      <c r="C38" s="330"/>
      <c r="D38" s="330"/>
      <c r="E38" s="330"/>
      <c r="F38" s="330"/>
      <c r="I38" s="74"/>
      <c r="J38" s="74"/>
    </row>
    <row r="39" spans="1:10" ht="16.5" thickTop="1" x14ac:dyDescent="0.2">
      <c r="A39" s="305" t="s">
        <v>0</v>
      </c>
      <c r="B39" s="306"/>
      <c r="C39" s="331"/>
      <c r="D39" s="332" t="s">
        <v>64</v>
      </c>
      <c r="E39" s="333"/>
      <c r="F39" s="334"/>
      <c r="I39" s="75"/>
      <c r="J39" s="76"/>
    </row>
    <row r="40" spans="1:10" ht="18.75" x14ac:dyDescent="0.3">
      <c r="A40" s="63" t="s">
        <v>139</v>
      </c>
      <c r="B40" s="64"/>
      <c r="C40" s="96" t="e">
        <f>(ROUND(((((D10*(133.322368421053))*(0.02896546))/((1-(((D10*133.322368421053)/(D9+273.15))*((0.00000158123)+((-0.000000029331)*(D9))+(0.00000000011043*D9^2)+(((0.000005707)+(-0.00000002051*D9))*((D11/100)*((1.00062+0.0000000314*(D10*133.322368421053)+0.00000056*D9^2)*((EXP(0.000012378847*(D9+273.15)^2+(-0.019121316*(D9+273.15))+33.93711047+(-6343.1645/(D9+273.15))))/(D10*133.322368421053)))))+((0.00019898+(-0.000002376*D9))*(((D11/100)*((1.00062+0.0000000314*(D10*133.322368421053)+0.00000056*D9^2)*((EXP(0.000012378847*(D9+273.15)^2+(-0.019121316)*(D9+273.15)+33.93711047+(-6343.1645)/(D9+273.15)))/(D10*133.322368421053))))^2))))+(((D10*133.322368421053)^2/((D9+273.15)^2)*(0.0000000000183+(-0.00000000765*(((D11/100)*((1.00062+0.0000000314*(D10*133.322368421053)+0.00000056*D9^2)*((EXP(0.000012378847*(D9+273.15)^2+(-0.019121316)*(D9+273.15)+33.93711047+(-6343.1645)/(D9+273.15)))/(D10*133.322368421053))))^2))))))*(8.314472)*(D9+273.15)))*(1-((0.378*((D11/100)*((1.00062+0.0000000314*(D10*133.322368421053)+0.00000056*D9^2)*((EXP(0.000012378847*(D9+273.15)^2+(-0.019121316)*(D9+273.15)+33.93711047+(-6343.1645)/(D9+273.15)))/(D10*133.322368421053)))))))),9))/1000</f>
        <v>#DIV/0!</v>
      </c>
      <c r="D40" s="289" t="s">
        <v>116</v>
      </c>
      <c r="E40" s="289"/>
      <c r="F40" s="290"/>
      <c r="I40" s="73"/>
      <c r="J40" s="73"/>
    </row>
    <row r="41" spans="1:10" ht="17.25" customHeight="1" x14ac:dyDescent="0.3">
      <c r="A41" s="63" t="s">
        <v>140</v>
      </c>
      <c r="B41" s="64"/>
      <c r="C41" s="96" t="e">
        <f>(ROUND(((((E10*(133.322368421053))*(0.02896546))/((1-(((E10*133.322368421053)/(E9+273.15))*((0.00000158123)+((-0.000000029331)*(E9))+(0.00000000011043*E9^2)+(((0.000005707)+(-0.00000002051*E9))*((E11/100)*((1.00062+0.0000000314*(E10*133.322368421053)+0.00000056*E9^2)*((EXP(0.000012378847*(E9+273.15)^2+(-0.019121316*(E9+273.15))+33.93711047+(-6343.1645/(E9+273.15))))/(E10*133.322368421053)))))+((0.00019898+(-0.000002376*E9))*(((E11/100)*((1.00062+0.0000000314*(E10*133.322368421053)+0.00000056*E9^2)*((EXP(0.000012378847*(E9+273.15)^2+(-0.019121316)*(E9+273.15)+33.93711047+(-6343.1645)/(E9+273.15)))/(E10*133.322368421053))))^2))))+(((E10*133.322368421053)^2/((E9+273.15)^2)*(0.0000000000183+(-0.00000000765*(((E11/100)*((1.00062+0.0000000314*(E10*133.322368421053)+0.00000056*E9^2)*((EXP(0.000012378847*(E9+273.15)^2+(-0.019121316)*(E9+273.15)+33.93711047+(-6343.1645)/(E9+273.15)))/(E10*133.322368421053))))^2))))))*(8.314472)*(E9+273.15)))*(1-((0.378*((E11/100)*((1.00062+0.0000000314*(E10*133.322368421053)+0.00000056*E9^2)*((EXP(0.000012378847*(E9+273.15)^2+(-0.019121316)*(E9+273.15)+33.93711047+(-6343.1645)/(E9+273.15)))/(E10*133.322368421053)))))))),9))/1000</f>
        <v>#DIV/0!</v>
      </c>
      <c r="D41" s="289" t="s">
        <v>116</v>
      </c>
      <c r="E41" s="289"/>
      <c r="F41" s="290"/>
      <c r="I41" s="73"/>
      <c r="J41" s="73"/>
    </row>
    <row r="42" spans="1:10" ht="12.75" x14ac:dyDescent="0.2">
      <c r="A42" s="274"/>
      <c r="B42" s="291"/>
      <c r="C42" s="291"/>
      <c r="D42" s="291"/>
      <c r="E42" s="291"/>
      <c r="F42" s="292"/>
      <c r="H42" s="74"/>
      <c r="I42" s="74"/>
      <c r="J42" s="74"/>
    </row>
    <row r="43" spans="1:10" ht="12.75" x14ac:dyDescent="0.2">
      <c r="A43" s="293" t="s">
        <v>1</v>
      </c>
      <c r="B43" s="294"/>
      <c r="C43" s="295"/>
      <c r="D43" s="296" t="s">
        <v>59</v>
      </c>
      <c r="E43" s="289"/>
      <c r="F43" s="290"/>
      <c r="H43" s="74"/>
      <c r="I43" s="74"/>
      <c r="J43" s="74"/>
    </row>
    <row r="44" spans="1:10" ht="18" x14ac:dyDescent="0.2">
      <c r="A44" s="63" t="s">
        <v>85</v>
      </c>
      <c r="B44" s="49"/>
      <c r="C44" s="94">
        <f>ROUND(((999.97495*(1-(((I27-3.983035)^2*(I27+301.797))/(522528.9*(I27+69.34881)))))/1000)+(-4.612+0.106*I27)/1000000,8)</f>
        <v>0.99983820999999995</v>
      </c>
      <c r="D44" s="289" t="s">
        <v>122</v>
      </c>
      <c r="E44" s="289"/>
      <c r="F44" s="290"/>
      <c r="H44" s="78"/>
      <c r="I44" s="74"/>
      <c r="J44" s="74"/>
    </row>
    <row r="45" spans="1:10" ht="18" x14ac:dyDescent="0.2">
      <c r="A45" s="63" t="s">
        <v>87</v>
      </c>
      <c r="B45" s="49"/>
      <c r="C45" s="82">
        <f>ROUND(((999.97495*(1-(((I32-3.983035)^2*(I32+301.797))/(522528.9*(I32+69.34881)))))/1000)+(-4.612+0.106*I32)/1000000,8)</f>
        <v>0.99983820999999995</v>
      </c>
      <c r="D45" s="289" t="s">
        <v>122</v>
      </c>
      <c r="E45" s="289"/>
      <c r="F45" s="290"/>
      <c r="H45" s="79"/>
      <c r="I45" s="74"/>
      <c r="J45" s="74"/>
    </row>
    <row r="46" spans="1:10" ht="12.75" x14ac:dyDescent="0.2">
      <c r="A46" s="293" t="s">
        <v>2</v>
      </c>
      <c r="B46" s="294"/>
      <c r="C46" s="295"/>
      <c r="D46" s="296" t="s">
        <v>58</v>
      </c>
      <c r="E46" s="289"/>
      <c r="F46" s="290"/>
      <c r="H46" s="3"/>
      <c r="I46" s="3"/>
      <c r="J46" s="74"/>
    </row>
    <row r="47" spans="1:10" ht="12.75" x14ac:dyDescent="0.2">
      <c r="A47" s="63" t="s">
        <v>42</v>
      </c>
      <c r="B47" s="49"/>
      <c r="C47" s="93">
        <f>ROUND((1-B7*(I27-D7)),6)</f>
        <v>1</v>
      </c>
      <c r="D47" s="296" t="s">
        <v>115</v>
      </c>
      <c r="E47" s="289"/>
      <c r="F47" s="290"/>
      <c r="H47" s="3"/>
      <c r="I47" s="3"/>
      <c r="J47" s="74"/>
    </row>
    <row r="48" spans="1:10" ht="12.75" x14ac:dyDescent="0.2">
      <c r="A48" s="63" t="s">
        <v>43</v>
      </c>
      <c r="B48" s="49"/>
      <c r="C48" s="84">
        <f>ROUND((1-B7*(I32-D7)),6)</f>
        <v>1</v>
      </c>
      <c r="D48" s="296" t="s">
        <v>115</v>
      </c>
      <c r="E48" s="289"/>
      <c r="F48" s="290"/>
      <c r="H48" s="3"/>
      <c r="I48" s="80"/>
      <c r="J48" s="74"/>
    </row>
    <row r="49" spans="1:10" ht="26.25" customHeight="1" x14ac:dyDescent="0.2">
      <c r="A49" s="293" t="s">
        <v>105</v>
      </c>
      <c r="B49" s="294"/>
      <c r="C49" s="295"/>
      <c r="D49" s="313"/>
      <c r="E49" s="314"/>
      <c r="F49" s="315"/>
      <c r="G49" s="359"/>
      <c r="H49" s="360"/>
      <c r="I49" s="3"/>
      <c r="J49" s="74"/>
    </row>
    <row r="50" spans="1:10" ht="12.75" x14ac:dyDescent="0.2">
      <c r="A50" s="63" t="s">
        <v>106</v>
      </c>
      <c r="B50" s="49"/>
      <c r="C50" s="91" t="e">
        <f>(D27-D26)*(B20+C20)/D25*(1-C40/F20)*(1/(C44-C40))</f>
        <v>#DIV/0!</v>
      </c>
      <c r="D50" s="142" t="s">
        <v>39</v>
      </c>
      <c r="E50" s="143"/>
      <c r="F50" s="144"/>
      <c r="H50" s="3"/>
      <c r="I50" s="81"/>
      <c r="J50" s="74"/>
    </row>
    <row r="51" spans="1:10" ht="12.75" x14ac:dyDescent="0.2">
      <c r="A51" s="63" t="s">
        <v>107</v>
      </c>
      <c r="B51" s="49"/>
      <c r="C51" s="83" t="e">
        <f>(D32-D31)*(B20+C20)/D30*(1-C41/F20)*(1/(C45-C41))</f>
        <v>#DIV/0!</v>
      </c>
      <c r="D51" s="142" t="s">
        <v>39</v>
      </c>
      <c r="E51" s="143"/>
      <c r="F51" s="144"/>
      <c r="H51" s="3"/>
      <c r="I51" s="3"/>
      <c r="J51" s="74"/>
    </row>
    <row r="52" spans="1:10" ht="12.75" x14ac:dyDescent="0.2">
      <c r="A52" s="145"/>
      <c r="B52" s="141"/>
      <c r="C52" s="160"/>
      <c r="D52" s="142"/>
      <c r="E52" s="143"/>
      <c r="F52" s="144"/>
      <c r="H52" s="3"/>
      <c r="I52" s="3"/>
      <c r="J52" s="74"/>
    </row>
    <row r="53" spans="1:10" ht="12.75" x14ac:dyDescent="0.2">
      <c r="A53" s="293" t="s">
        <v>108</v>
      </c>
      <c r="B53" s="294"/>
      <c r="C53" s="295"/>
      <c r="D53" s="142"/>
      <c r="E53" s="143"/>
      <c r="F53" s="144"/>
      <c r="H53" s="3"/>
      <c r="I53" s="3"/>
      <c r="J53" s="74"/>
    </row>
    <row r="54" spans="1:10" ht="14.25" x14ac:dyDescent="0.25">
      <c r="A54" s="301" t="s">
        <v>109</v>
      </c>
      <c r="B54" s="302"/>
      <c r="C54" s="91" t="e">
        <f>C50*C47</f>
        <v>#DIV/0!</v>
      </c>
      <c r="D54" s="149" t="s">
        <v>159</v>
      </c>
      <c r="E54" s="143"/>
      <c r="F54" s="144"/>
      <c r="H54" s="3"/>
      <c r="I54" s="3"/>
      <c r="J54" s="74"/>
    </row>
    <row r="55" spans="1:10" ht="15" thickBot="1" x14ac:dyDescent="0.3">
      <c r="A55" s="303" t="s">
        <v>110</v>
      </c>
      <c r="B55" s="304"/>
      <c r="C55" s="152" t="e">
        <f>C51*C48</f>
        <v>#DIV/0!</v>
      </c>
      <c r="D55" s="153" t="s">
        <v>160</v>
      </c>
      <c r="E55" s="150"/>
      <c r="F55" s="151"/>
      <c r="H55" s="3"/>
      <c r="I55" s="3"/>
      <c r="J55" s="74"/>
    </row>
    <row r="56" spans="1:10" ht="13.5" thickTop="1" x14ac:dyDescent="0.2">
      <c r="A56" s="305" t="s">
        <v>150</v>
      </c>
      <c r="B56" s="306"/>
      <c r="C56" s="312"/>
      <c r="D56" s="316"/>
      <c r="E56" s="317"/>
      <c r="F56" s="318"/>
      <c r="H56" s="3"/>
      <c r="I56" s="3"/>
      <c r="J56" s="74"/>
    </row>
    <row r="57" spans="1:10" ht="15" x14ac:dyDescent="0.3">
      <c r="A57" s="154" t="s">
        <v>158</v>
      </c>
      <c r="B57" s="49"/>
      <c r="C57" s="83" t="e">
        <f>STDEV(C54:C55)</f>
        <v>#DIV/0!</v>
      </c>
      <c r="D57" s="319" t="s">
        <v>161</v>
      </c>
      <c r="E57" s="320"/>
      <c r="F57" s="321"/>
      <c r="H57" s="3"/>
      <c r="I57" s="3"/>
      <c r="J57" s="74"/>
    </row>
    <row r="58" spans="1:10" ht="12.75" x14ac:dyDescent="0.2">
      <c r="A58" s="155" t="s">
        <v>151</v>
      </c>
      <c r="B58" s="156"/>
      <c r="C58" s="99">
        <f>B11</f>
        <v>0</v>
      </c>
      <c r="D58" s="361" t="str">
        <f>IF(C58=0,"Incomplete",IF(C57&lt;(C58*3),"Difference is less than Control Limits, Pass", "Fail"))</f>
        <v>Incomplete</v>
      </c>
      <c r="E58" s="361"/>
      <c r="F58" s="362"/>
      <c r="H58" s="74"/>
      <c r="I58" s="74"/>
      <c r="J58" s="74"/>
    </row>
    <row r="59" spans="1:10" ht="13.5" thickBot="1" x14ac:dyDescent="0.25">
      <c r="A59" s="157"/>
      <c r="B59" s="158"/>
      <c r="C59" s="158"/>
      <c r="D59" s="356"/>
      <c r="E59" s="357"/>
      <c r="F59" s="358"/>
      <c r="H59" s="74"/>
      <c r="I59" s="74"/>
      <c r="J59" s="74"/>
    </row>
    <row r="60" spans="1:10" ht="14.25" thickTop="1" thickBot="1" x14ac:dyDescent="0.25">
      <c r="A60" s="62"/>
      <c r="B60" s="62"/>
      <c r="C60" s="62"/>
      <c r="D60" s="62"/>
      <c r="E60" s="62"/>
      <c r="F60" s="62"/>
    </row>
    <row r="61" spans="1:10" ht="13.5" thickTop="1" x14ac:dyDescent="0.2">
      <c r="A61" s="305" t="s">
        <v>117</v>
      </c>
      <c r="B61" s="306"/>
      <c r="C61" s="306"/>
      <c r="D61" s="306"/>
      <c r="E61" s="306"/>
      <c r="F61" s="307"/>
    </row>
    <row r="62" spans="1:10" ht="13.5" thickBot="1" x14ac:dyDescent="0.25">
      <c r="A62" s="116" t="s">
        <v>118</v>
      </c>
      <c r="B62" s="117" t="s">
        <v>46</v>
      </c>
      <c r="C62" s="117" t="s">
        <v>47</v>
      </c>
      <c r="D62" s="117" t="s">
        <v>49</v>
      </c>
      <c r="E62" s="117" t="s">
        <v>48</v>
      </c>
      <c r="F62" s="118" t="s">
        <v>119</v>
      </c>
    </row>
    <row r="63" spans="1:10" ht="13.5" thickTop="1" x14ac:dyDescent="0.2">
      <c r="A63" s="110" t="s">
        <v>45</v>
      </c>
      <c r="B63" s="111" t="e">
        <f>D20/E20</f>
        <v>#DIV/0!</v>
      </c>
      <c r="C63" s="112" t="s">
        <v>44</v>
      </c>
      <c r="D63" s="113" t="e">
        <f>B63</f>
        <v>#DIV/0!</v>
      </c>
      <c r="E63" s="114" t="s">
        <v>50</v>
      </c>
      <c r="F63" s="115" t="e">
        <f>D63</f>
        <v>#DIV/0!</v>
      </c>
    </row>
    <row r="64" spans="1:10" ht="12.75" x14ac:dyDescent="0.2">
      <c r="A64" s="110" t="s">
        <v>167</v>
      </c>
      <c r="B64" s="111">
        <f>C58/4</f>
        <v>0</v>
      </c>
      <c r="C64" s="235" t="s">
        <v>39</v>
      </c>
      <c r="D64" s="113">
        <f>B64</f>
        <v>0</v>
      </c>
      <c r="E64" s="236" t="s">
        <v>56</v>
      </c>
      <c r="F64" s="67">
        <f>ABS(D64/3^0.5)</f>
        <v>0</v>
      </c>
    </row>
    <row r="65" spans="1:8" ht="18.75" customHeight="1" x14ac:dyDescent="0.2">
      <c r="A65" s="65" t="s">
        <v>128</v>
      </c>
      <c r="B65" s="103">
        <f>B11</f>
        <v>0</v>
      </c>
      <c r="C65" s="66" t="s">
        <v>39</v>
      </c>
      <c r="D65" s="97">
        <f>B65</f>
        <v>0</v>
      </c>
      <c r="E65" s="50" t="s">
        <v>50</v>
      </c>
      <c r="F65" s="98">
        <f>D65</f>
        <v>0</v>
      </c>
      <c r="G65" s="354" t="s">
        <v>126</v>
      </c>
      <c r="H65" s="355"/>
    </row>
    <row r="66" spans="1:8" ht="12.75" x14ac:dyDescent="0.2">
      <c r="A66" s="65" t="s">
        <v>51</v>
      </c>
      <c r="B66" s="91">
        <f>F12</f>
        <v>0</v>
      </c>
      <c r="C66" s="66" t="s">
        <v>12</v>
      </c>
      <c r="D66" s="93" t="e">
        <f>(C50*C47)-(C50*G66)+(D26-D27)*(B20+C20)/D25*(1-C40/F20)*(1/(C44-C40))-(D26-D27)*(B20+C20)/D25*(1-C40/F20)*(1/(H66-C40))</f>
        <v>#DIV/0!</v>
      </c>
      <c r="E66" s="50" t="s">
        <v>56</v>
      </c>
      <c r="F66" s="98" t="e">
        <f>ABS(D66/3^0.5)</f>
        <v>#DIV/0!</v>
      </c>
      <c r="G66" s="95">
        <f>ROUND((1-B7*(I27+B66-D7)),6)</f>
        <v>1</v>
      </c>
      <c r="H66" s="94">
        <f>ROUND(((999.97495*(1-(((I27+B66-3.983035)^2*(I27+B66+301.797))/(522528.9*(I27+B66+69.34881)))))/1000)+(-4.612+0.106*I27+B66)/1000000,8)</f>
        <v>0.99983820999999995</v>
      </c>
    </row>
    <row r="67" spans="1:8" ht="12.75" x14ac:dyDescent="0.2">
      <c r="A67" s="65" t="s">
        <v>60</v>
      </c>
      <c r="B67" s="91">
        <v>9.9999999999999995E-7</v>
      </c>
      <c r="C67" s="68" t="s">
        <v>111</v>
      </c>
      <c r="D67" s="93" t="e">
        <f>(C50*C47)-(C50*G67)</f>
        <v>#DIV/0!</v>
      </c>
      <c r="E67" s="50" t="s">
        <v>56</v>
      </c>
      <c r="F67" s="98" t="e">
        <f>ABS(D67/(3^0.5))</f>
        <v>#DIV/0!</v>
      </c>
      <c r="G67" s="95">
        <f>ROUND((1-(B7+B67)*(I27-D7)),6)</f>
        <v>1.0000199999999999</v>
      </c>
      <c r="H67" s="100"/>
    </row>
    <row r="68" spans="1:8" ht="15.75" x14ac:dyDescent="0.2">
      <c r="A68" s="65" t="s">
        <v>24</v>
      </c>
      <c r="B68" s="91">
        <v>3.9999999999999998E-6</v>
      </c>
      <c r="C68" s="66" t="s">
        <v>84</v>
      </c>
      <c r="D68" s="93" t="e">
        <f>(D26-D27)*(B20+C20)/D25*(1-C40/F20)*(1/(C44-C40))-(D26-D27)*(B20+C20)/D25*(1-C40/F20)*(1/(G68-C40))</f>
        <v>#DIV/0!</v>
      </c>
      <c r="E68" s="50" t="s">
        <v>56</v>
      </c>
      <c r="F68" s="98" t="e">
        <f>ABS(D68/(3^0.5))</f>
        <v>#DIV/0!</v>
      </c>
      <c r="G68" s="95">
        <f>C44+B68</f>
        <v>0.99984220999999995</v>
      </c>
      <c r="H68" s="100"/>
    </row>
    <row r="69" spans="1:8" ht="12.75" x14ac:dyDescent="0.2">
      <c r="A69" s="65" t="s">
        <v>135</v>
      </c>
      <c r="B69" s="91">
        <f>F9</f>
        <v>0</v>
      </c>
      <c r="C69" s="66" t="s">
        <v>12</v>
      </c>
      <c r="D69" s="91" t="e">
        <f>(D26-D27)*(B20+C20)/D25*(1-C40/F20)*(1/(C44-C40))-(D26-D27)*(B20+C20)/D25*(1-G69/F20)*(1/(C44-G69))</f>
        <v>#DIV/0!</v>
      </c>
      <c r="E69" s="50" t="s">
        <v>56</v>
      </c>
      <c r="F69" s="98" t="e">
        <f>ABS(D69/(3^0.5))</f>
        <v>#DIV/0!</v>
      </c>
      <c r="G69" s="91" t="e">
        <f>(ROUND(((((G10*(133.322368421053))*(0.02896546))/((1-(((G10*133.322368421053)/(H69+273.15))*((0.00000158123)+((-0.000000029331)*(H69))+(0.00000000011043*H69^2)+(((0.000005707)+(-0.00000002051*H69))*((G11/100)*((1.00062+0.0000000314*(G10*133.322368421053)+0.00000056*H69^2)*((EXP(0.000012378847*(H69+273.15)^2+(-0.019121316*(H69+273.15))+33.93711047+(-6343.1645/(H69+273.15))))/(G10*133.322368421053)))))+((0.00019898+(-0.000002376*H69))*(((G11/100)*((1.00062+0.0000000314*(G10*133.322368421053)+0.00000056*H69^2)*((EXP(0.000012378847*(H69+273.15)^2+(-0.019121316)*(H69+273.15)+33.93711047+(-6343.1645)/(H69+273.15)))/(G10*133.322368421053))))^2))))+(((G10*133.322368421053)^2/((H69+273.15)^2)*(0.0000000000183+(-0.00000000765*(((G11/100)*((1.00062+0.0000000314*(G10*133.322368421053)+0.00000056*H69^2)*((EXP(0.000012378847*(H69+273.15)^2+(-0.019121316)*(H69+273.15)+33.93711047+(-6343.1645)/(H69+273.15)))/(G10*133.322368421053))))^2))))))*(8.314472)*(H69+273.15)))*(1-((0.378*((G11/100)*((1.00062+0.0000000314*(G10*133.322368421053)+0.00000056*H69^2)*((EXP(0.000012378847*(H69+273.15)^2+(-0.019121316)*(H69+273.15)+33.93711047+(-6343.1645)/(H69+273.15)))/(G10*133.322368421053)))))))),9))/1000</f>
        <v>#DIV/0!</v>
      </c>
      <c r="H69" s="101" t="e">
        <f>(G9+B69)</f>
        <v>#DIV/0!</v>
      </c>
    </row>
    <row r="70" spans="1:8" ht="12.75" x14ac:dyDescent="0.2">
      <c r="A70" s="65" t="s">
        <v>52</v>
      </c>
      <c r="B70" s="91">
        <f>F10</f>
        <v>0</v>
      </c>
      <c r="C70" s="66" t="s">
        <v>9</v>
      </c>
      <c r="D70" s="91" t="e">
        <f>(D26-D27)*(B20+C20)/D25*(1-C40/F20)*(1/(C44-C40))-(D26-D27)*(B20+C20)/D25*(1-G70/F20)*(1/(C44-G70))</f>
        <v>#DIV/0!</v>
      </c>
      <c r="E70" s="50" t="s">
        <v>56</v>
      </c>
      <c r="F70" s="98" t="e">
        <f>ABS(D70/(3^0.5))</f>
        <v>#DIV/0!</v>
      </c>
      <c r="G70" s="91" t="e">
        <f>(ROUND(((((H70*(133.322368421053))*(0.02896546))/((1-(((H70*133.322368421053)/(G9+273.15))*((0.00000158123)+((-0.000000029331)*(G9))+(0.00000000011043*G9^2)+(((0.000005707)+(-0.00000002051*G9))*((G11/100)*((1.00062+0.0000000314*(H70*133.322368421053)+0.00000056*G9^2)*((EXP(0.000012378847*(G9+273.15)^2+(-0.019121316*(G9+273.15))+33.93711047+(-6343.1645/(G9+273.15))))/(H70*133.322368421053)))))+((0.00019898+(-0.000002376*G9))*(((G11/100)*((1.00062+0.0000000314*(H70*133.322368421053)+0.00000056*G9^2)*((EXP(0.000012378847*(G9+273.15)^2+(-0.019121316)*(G9+273.15)+33.93711047+(-6343.1645)/(G9+273.15)))/(H70*133.322368421053))))^2))))+(((H70*133.322368421053)^2/((G9+273.15)^2)*(0.0000000000183+(-0.00000000765*(((G11/100)*((1.00062+0.0000000314*(H70*133.322368421053)+0.00000056*G9^2)*((EXP(0.000012378847*(G9+273.15)^2+(-0.019121316)*(G9+273.15)+33.93711047+(-6343.1645)/(G9+273.15)))/(H70*133.322368421053))))^2))))))*(8.314472)*(G9+273.15)))*(1-((0.378*((G11/100)*((1.00062+0.0000000314*(H70*133.322368421053)+0.00000056*G9^2)*((EXP(0.000012378847*(G9+273.15)^2+(-0.019121316)*(G9+273.15)+33.93711047+(-6343.1645)/(G9+273.15)))/(H70*133.322368421053)))))))),9))/1000</f>
        <v>#DIV/0!</v>
      </c>
      <c r="H70" s="101" t="e">
        <f>(G10+B70)</f>
        <v>#DIV/0!</v>
      </c>
    </row>
    <row r="71" spans="1:8" ht="12.75" x14ac:dyDescent="0.2">
      <c r="A71" s="65" t="s">
        <v>53</v>
      </c>
      <c r="B71" s="91">
        <f>F11</f>
        <v>0</v>
      </c>
      <c r="C71" s="66" t="s">
        <v>15</v>
      </c>
      <c r="D71" s="91" t="e">
        <f>(D26-D27)*(B20+C20)/D25*(1-C40/F20)*(1/(C44-C40))-(D26-D27)*(B20+C20)/D25*(1-G71/F20)*(1/(C44-G71))</f>
        <v>#DIV/0!</v>
      </c>
      <c r="E71" s="50" t="s">
        <v>56</v>
      </c>
      <c r="F71" s="98" t="e">
        <f>ABS(D71/(3^0.5))</f>
        <v>#DIV/0!</v>
      </c>
      <c r="G71" s="91" t="e">
        <f>(ROUND(((((G10*(133.322368421053))*(0.02896546))/((1-(((G10*133.322368421053)/(G9+273.15))*((0.00000158123)+((-0.000000029331)*(G9))+(0.00000000011043*G9^2)+(((0.000005707)+(-0.00000002051*G9))*((H71/100)*((1.00062+0.0000000314*(G10*133.322368421053)+0.00000056*G9^2)*((EXP(0.000012378847*(G9+273.15)^2+(-0.019121316*(G9+273.15))+33.93711047+(-6343.1645/(G9+273.15))))/(G10*133.322368421053)))))+((0.00019898+(-0.000002376*G9))*(((H71/100)*((1.00062+0.0000000314*(G10*133.322368421053)+0.00000056*G9^2)*((EXP(0.000012378847*(G9+273.15)^2+(-0.019121316)*(G9+273.15)+33.93711047+(-6343.1645)/(G9+273.15)))/(G10*133.322368421053))))^2))))+(((G10*133.322368421053)^2/((G9+273.15)^2)*(0.0000000000183+(-0.00000000765*(((H71/100)*((1.00062+0.0000000314*(G10*133.322368421053)+0.00000056*G9^2)*((EXP(0.000012378847*(G9+273.15)^2+(-0.019121316)*(G9+273.15)+33.93711047+(-6343.1645)/(G9+273.15)))/(G10*133.322368421053))))^2))))))*(8.314472)*(G9+273.15)))*(1-((0.378*((H71/100)*((1.00062+0.0000000314*(G10*133.322368421053)+0.00000056*G9^2)*((EXP(0.000012378847*(G9+273.15)^2+(-0.019121316)*(G9+273.15)+33.93711047+(-6343.1645)/(G9+273.15)))/(G10*133.322368421053)))))))),9))/1000</f>
        <v>#DIV/0!</v>
      </c>
      <c r="H71" s="101" t="e">
        <f>(G11+B71)</f>
        <v>#DIV/0!</v>
      </c>
    </row>
    <row r="72" spans="1:8" ht="15.75" x14ac:dyDescent="0.2">
      <c r="A72" s="65" t="s">
        <v>54</v>
      </c>
      <c r="B72" s="91" t="e">
        <f>0.000022*AVERAGE(C39:C40)*1000</f>
        <v>#DIV/0!</v>
      </c>
      <c r="C72" s="66" t="s">
        <v>88</v>
      </c>
      <c r="D72" s="91" t="e">
        <f>(D26-D27)*(B20+C20)/D25*(1-(C40)/F20)*(1/(C44-C40))-(D26-D27)*(B20+C20)/D25*(1-(C40+B72/1000)/F20)*(1/(C44-(C40+B72/1000)))</f>
        <v>#DIV/0!</v>
      </c>
      <c r="E72" s="50" t="s">
        <v>50</v>
      </c>
      <c r="F72" s="98" t="e">
        <f>ABS(D72)</f>
        <v>#DIV/0!</v>
      </c>
      <c r="G72" s="92"/>
      <c r="H72" s="99"/>
    </row>
    <row r="73" spans="1:8" ht="15.75" x14ac:dyDescent="0.2">
      <c r="A73" s="65" t="s">
        <v>55</v>
      </c>
      <c r="B73" s="91">
        <v>0.05</v>
      </c>
      <c r="C73" s="66" t="s">
        <v>84</v>
      </c>
      <c r="D73" s="91" t="e">
        <f>(D26-D27)*(B20+C20)/D25*(1-C40/F20)*(1/(C44-C40))-(D26-D27)*(B20+C20)/D25*(1-C40/(F20+B73))*(1/(C44-C40))</f>
        <v>#DIV/0!</v>
      </c>
      <c r="E73" s="50" t="s">
        <v>56</v>
      </c>
      <c r="F73" s="98" t="e">
        <f>ABS(D73/(3^0.5))</f>
        <v>#DIV/0!</v>
      </c>
      <c r="G73" s="92"/>
      <c r="H73" s="99"/>
    </row>
    <row r="74" spans="1:8" ht="12.75" x14ac:dyDescent="0.2">
      <c r="A74" s="274"/>
      <c r="B74" s="291"/>
      <c r="C74" s="291"/>
      <c r="D74" s="325"/>
      <c r="E74" s="69" t="s">
        <v>57</v>
      </c>
      <c r="F74" s="67" t="e">
        <f>(F63^2+F65^2+F66^2+F67^2+F68^2+F69^2+F70^2+F71^2+F72^2+F73^2)^0.5</f>
        <v>#DIV/0!</v>
      </c>
    </row>
    <row r="75" spans="1:8" ht="15.75" thickBot="1" x14ac:dyDescent="0.3">
      <c r="A75" s="297" t="s">
        <v>130</v>
      </c>
      <c r="B75" s="298"/>
      <c r="C75" s="106" t="e">
        <f>ROUND(TINV(0.0455,B12),2)</f>
        <v>#NUM!</v>
      </c>
      <c r="D75" s="107"/>
      <c r="E75" s="108" t="s">
        <v>112</v>
      </c>
      <c r="F75" s="109" t="e">
        <f>F74*C75</f>
        <v>#DIV/0!</v>
      </c>
    </row>
    <row r="76" spans="1:8" ht="12.75" customHeight="1" thickTop="1" x14ac:dyDescent="0.2"/>
    <row r="77" spans="1:8" ht="12.75" x14ac:dyDescent="0.2">
      <c r="A77" s="41"/>
      <c r="B77" s="41"/>
    </row>
    <row r="78" spans="1:8" ht="12.75" hidden="1" x14ac:dyDescent="0.2"/>
    <row r="79" spans="1:8" ht="12.75" customHeight="1" x14ac:dyDescent="0.2"/>
    <row r="80" spans="1:8"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sheetData>
  <sheetProtection password="FFED" sheet="1" objects="1" scenarios="1"/>
  <mergeCells count="60">
    <mergeCell ref="A61:F61"/>
    <mergeCell ref="G65:H65"/>
    <mergeCell ref="A74:D74"/>
    <mergeCell ref="A75:B75"/>
    <mergeCell ref="H4:J4"/>
    <mergeCell ref="D56:F56"/>
    <mergeCell ref="D57:F57"/>
    <mergeCell ref="D59:F59"/>
    <mergeCell ref="G49:H49"/>
    <mergeCell ref="A53:C53"/>
    <mergeCell ref="A54:B54"/>
    <mergeCell ref="A55:B55"/>
    <mergeCell ref="A56:C56"/>
    <mergeCell ref="D58:F58"/>
    <mergeCell ref="A46:C46"/>
    <mergeCell ref="D46:F46"/>
    <mergeCell ref="D47:F47"/>
    <mergeCell ref="D48:F48"/>
    <mergeCell ref="A49:C49"/>
    <mergeCell ref="D49:F49"/>
    <mergeCell ref="D41:F41"/>
    <mergeCell ref="A42:F42"/>
    <mergeCell ref="A43:C43"/>
    <mergeCell ref="D43:F43"/>
    <mergeCell ref="D44:F44"/>
    <mergeCell ref="D45:F45"/>
    <mergeCell ref="D40:F40"/>
    <mergeCell ref="D28:G28"/>
    <mergeCell ref="D30:G30"/>
    <mergeCell ref="D31:G31"/>
    <mergeCell ref="D32:G32"/>
    <mergeCell ref="A29:G29"/>
    <mergeCell ref="A35:B35"/>
    <mergeCell ref="D35:G35"/>
    <mergeCell ref="A36:B36"/>
    <mergeCell ref="D36:G36"/>
    <mergeCell ref="A38:F38"/>
    <mergeCell ref="A39:C39"/>
    <mergeCell ref="D39:F39"/>
    <mergeCell ref="A22:F22"/>
    <mergeCell ref="D23:G23"/>
    <mergeCell ref="D25:G25"/>
    <mergeCell ref="D26:G26"/>
    <mergeCell ref="D27:G27"/>
    <mergeCell ref="A24:G24"/>
    <mergeCell ref="A21:F21"/>
    <mergeCell ref="A1:J1"/>
    <mergeCell ref="A2:J2"/>
    <mergeCell ref="D4:G4"/>
    <mergeCell ref="D5:G5"/>
    <mergeCell ref="D6:G6"/>
    <mergeCell ref="C12:E12"/>
    <mergeCell ref="A13:F13"/>
    <mergeCell ref="A14:A15"/>
    <mergeCell ref="B14:B15"/>
    <mergeCell ref="C14:C15"/>
    <mergeCell ref="D14:D15"/>
    <mergeCell ref="E14:E15"/>
    <mergeCell ref="F14:F15"/>
    <mergeCell ref="G14:G15"/>
  </mergeCells>
  <conditionalFormatting sqref="D58">
    <cfRule type="containsText" dxfId="0" priority="1" operator="containsText" text="Pass">
      <formula>NOT(ISERROR(SEARCH("Pass",D58)))</formula>
    </cfRule>
  </conditionalFormatting>
  <pageMargins left="0.7" right="0.7" top="0.75" bottom="0.75" header="0.3" footer="0.3"/>
  <pageSetup scale="65" fitToHeight="2" orientation="landscape" r:id="rId1"/>
  <headerFooter alignWithMargins="0">
    <oddHeader>&amp;C&amp;"Times New Roman,Regular"&amp;F</oddHeader>
    <oddFooter>&amp;C&amp;"Times New Roman,Regular"Page &amp;P of &amp;N</oddFooter>
  </headerFooter>
  <rowBreaks count="1" manualBreakCount="1">
    <brk id="37" max="9" man="1"/>
  </rowBreaks>
  <drawing r:id="rId2"/>
  <legacyDrawing r:id="rId3"/>
  <oleObjects>
    <mc:AlternateContent xmlns:mc="http://schemas.openxmlformats.org/markup-compatibility/2006">
      <mc:Choice Requires="x14">
        <oleObject progId="Equation.3" shapeId="35841" r:id="rId4">
          <objectPr defaultSize="0" autoPict="0" r:id="rId5">
            <anchor moveWithCells="1" sizeWithCells="1">
              <from>
                <xdr:col>6</xdr:col>
                <xdr:colOff>95250</xdr:colOff>
                <xdr:row>52</xdr:row>
                <xdr:rowOff>28575</xdr:rowOff>
              </from>
              <to>
                <xdr:col>8</xdr:col>
                <xdr:colOff>19050</xdr:colOff>
                <xdr:row>53</xdr:row>
                <xdr:rowOff>114300</xdr:rowOff>
              </to>
            </anchor>
          </objectPr>
        </oleObject>
      </mc:Choice>
      <mc:Fallback>
        <oleObject progId="Equation.3" shapeId="35841" r:id="rId4"/>
      </mc:Fallback>
    </mc:AlternateContent>
    <mc:AlternateContent xmlns:mc="http://schemas.openxmlformats.org/markup-compatibility/2006">
      <mc:Choice Requires="x14">
        <oleObject progId="Equation.3" shapeId="35843" r:id="rId6">
          <objectPr defaultSize="0" autoPict="0" r:id="rId7">
            <anchor moveWithCells="1" sizeWithCells="1">
              <from>
                <xdr:col>6</xdr:col>
                <xdr:colOff>47625</xdr:colOff>
                <xdr:row>46</xdr:row>
                <xdr:rowOff>57150</xdr:rowOff>
              </from>
              <to>
                <xdr:col>7</xdr:col>
                <xdr:colOff>47625</xdr:colOff>
                <xdr:row>47</xdr:row>
                <xdr:rowOff>76200</xdr:rowOff>
              </to>
            </anchor>
          </objectPr>
        </oleObject>
      </mc:Choice>
      <mc:Fallback>
        <oleObject progId="Equation.3" shapeId="35843" r:id="rId6"/>
      </mc:Fallback>
    </mc:AlternateContent>
    <mc:AlternateContent xmlns:mc="http://schemas.openxmlformats.org/markup-compatibility/2006">
      <mc:Choice Requires="x14">
        <oleObject progId="Equation.3" shapeId="35846" r:id="rId8">
          <objectPr defaultSize="0" autoPict="0" r:id="rId9">
            <anchor moveWithCells="1" sizeWithCells="1">
              <from>
                <xdr:col>6</xdr:col>
                <xdr:colOff>95250</xdr:colOff>
                <xdr:row>48</xdr:row>
                <xdr:rowOff>38100</xdr:rowOff>
              </from>
              <to>
                <xdr:col>7</xdr:col>
                <xdr:colOff>1276350</xdr:colOff>
                <xdr:row>51</xdr:row>
                <xdr:rowOff>19050</xdr:rowOff>
              </to>
            </anchor>
          </objectPr>
        </oleObject>
      </mc:Choice>
      <mc:Fallback>
        <oleObject progId="Equation.3" shapeId="35846" r:id="rId8"/>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workbookViewId="0">
      <selection activeCell="A2" sqref="A2"/>
    </sheetView>
  </sheetViews>
  <sheetFormatPr defaultColWidth="7" defaultRowHeight="15.75" x14ac:dyDescent="0.25"/>
  <cols>
    <col min="1" max="1" width="7" style="9" customWidth="1"/>
    <col min="2" max="2" width="13.625" style="9" customWidth="1"/>
    <col min="3" max="3" width="11.375" style="9" bestFit="1" customWidth="1"/>
    <col min="4" max="4" width="7" style="9" customWidth="1"/>
    <col min="5" max="5" width="6.5" style="9" bestFit="1" customWidth="1"/>
    <col min="6" max="6" width="7" style="9" customWidth="1"/>
    <col min="7" max="7" width="15.375" style="9" customWidth="1"/>
    <col min="8" max="8" width="7" style="9" customWidth="1"/>
    <col min="9" max="11" width="7" style="2" customWidth="1"/>
    <col min="12" max="12" width="13.5" style="2" customWidth="1"/>
    <col min="13" max="16384" width="7" style="2"/>
  </cols>
  <sheetData>
    <row r="1" spans="1:7" x14ac:dyDescent="0.25">
      <c r="A1" s="34" t="s">
        <v>3</v>
      </c>
      <c r="B1" s="35"/>
      <c r="C1" s="34" t="s">
        <v>4</v>
      </c>
    </row>
    <row r="3" spans="1:7" x14ac:dyDescent="0.25">
      <c r="A3" s="8"/>
      <c r="B3" s="8"/>
      <c r="C3" s="8"/>
      <c r="D3" s="8"/>
      <c r="F3" s="10" t="s">
        <v>5</v>
      </c>
      <c r="G3" s="10"/>
    </row>
    <row r="4" spans="1:7" ht="16.5" thickBot="1" x14ac:dyDescent="0.3">
      <c r="A4" s="4" t="s">
        <v>6</v>
      </c>
      <c r="B4" s="5"/>
      <c r="C4" s="11"/>
      <c r="D4" s="12"/>
      <c r="E4" s="13"/>
      <c r="F4" s="10" t="s">
        <v>7</v>
      </c>
      <c r="G4" s="10"/>
    </row>
    <row r="5" spans="1:7" ht="16.5" thickTop="1" x14ac:dyDescent="0.25">
      <c r="A5" s="14" t="s">
        <v>8</v>
      </c>
      <c r="B5" s="15"/>
      <c r="C5" s="16">
        <v>760</v>
      </c>
      <c r="D5" s="17" t="s">
        <v>9</v>
      </c>
      <c r="E5" s="13"/>
      <c r="F5" s="18">
        <f>C5*133.322368421053</f>
        <v>101325.00000000028</v>
      </c>
      <c r="G5" s="19" t="s">
        <v>10</v>
      </c>
    </row>
    <row r="6" spans="1:7" x14ac:dyDescent="0.25">
      <c r="A6" s="20" t="s">
        <v>11</v>
      </c>
      <c r="B6" s="21"/>
      <c r="C6" s="22">
        <v>20</v>
      </c>
      <c r="D6" s="23" t="s">
        <v>12</v>
      </c>
      <c r="E6" s="13"/>
      <c r="F6" s="24">
        <f>C6+273.15</f>
        <v>293.14999999999998</v>
      </c>
      <c r="G6" s="19" t="s">
        <v>13</v>
      </c>
    </row>
    <row r="7" spans="1:7" ht="16.5" thickBot="1" x14ac:dyDescent="0.3">
      <c r="A7" s="25" t="s">
        <v>14</v>
      </c>
      <c r="B7" s="26"/>
      <c r="C7" s="27">
        <v>42</v>
      </c>
      <c r="D7" s="28" t="s">
        <v>15</v>
      </c>
      <c r="E7" s="13"/>
      <c r="F7" s="24">
        <f>C7</f>
        <v>42</v>
      </c>
      <c r="G7" s="19" t="s">
        <v>15</v>
      </c>
    </row>
    <row r="8" spans="1:7" ht="19.5" thickTop="1" x14ac:dyDescent="0.25">
      <c r="A8" s="29" t="s">
        <v>16</v>
      </c>
      <c r="B8" s="29"/>
      <c r="C8" s="30">
        <f>0.0289635*($F$5)/(((1-($F$5)/($F$6)*(0.00000158123+(-0.000000029331*($C$6))+(0.00000000011043*($C$6)^2)+(0.000005707+(-0.00000002051*($C$6)))*(($F$7/100)*(1.00062+0.0000000314*($F$5)+0.00000056*($C$6)^2)*(EXP(0.000012378847*($F$6)^2+(-0.019121316)*($F$6)+33.93711047+(-6343.1645/($F$6))))/($F$5))+(0.00019898+(-0.000002376*($C$6)))*(($F$7/100)*(1.00062+0.0000000314*($F$5)+0.00000056*($C$6)^2)*(EXP(0.000012378847*($F$6)^2+(-0.019121316)*($F$6)+33.93711047+(-6343.1645/($F$6))))/($F$5))^2)+($F$5)^2/($F$6)^2*(0.0000000000183+(-0.00000000765*(($F$7/100)*(1.00062+0.0000000314*($F$5)+0.00000056*($C$6)^2)*(EXP(0.000012378847*($F$6)^2+(-0.019121316)*($F$6)+33.93711047+(-6343.1645/($F$6))))/($F$5))^2))))*8.31451*($F$6))*(1-(0.378*(($F$7/100)*(1.00062+0.0000000314*($F$5)+0.00000056*($C$6)^2)*(EXP(0.000012378847*($F$6)^2+(-0.019121316)*($F$6)+33.93711047+(-6343.1645/($F$6))))/($F$5))))</f>
        <v>1.2000655177242927</v>
      </c>
      <c r="D8" s="31" t="s">
        <v>21</v>
      </c>
      <c r="E8" s="32">
        <f>C8/1000</f>
        <v>1.2000655177242926E-3</v>
      </c>
      <c r="F8" s="31" t="s">
        <v>22</v>
      </c>
    </row>
    <row r="15" spans="1:7" x14ac:dyDescent="0.25">
      <c r="A15" s="9" t="s">
        <v>17</v>
      </c>
      <c r="B15" s="36"/>
      <c r="C15" s="33"/>
      <c r="D15" s="37"/>
      <c r="F15" s="10"/>
    </row>
    <row r="16" spans="1:7" x14ac:dyDescent="0.25">
      <c r="A16" s="9" t="s">
        <v>18</v>
      </c>
    </row>
    <row r="17" spans="1:1" x14ac:dyDescent="0.25">
      <c r="A17" s="9" t="s">
        <v>19</v>
      </c>
    </row>
    <row r="18" spans="1:1" x14ac:dyDescent="0.25">
      <c r="A18" s="9" t="s">
        <v>20</v>
      </c>
    </row>
  </sheetData>
  <sheetProtection password="FFED" sheet="1" objects="1" scenarios="1"/>
  <phoneticPr fontId="4" type="noConversion"/>
  <pageMargins left="0.87" right="0.45" top="1" bottom="1" header="0.5" footer="0.5"/>
  <pageSetup orientation="portrait" r:id="rId1"/>
  <headerFooter alignWithMargins="0">
    <oddHeader>&amp;A</oddHeader>
    <oddFooter>Page &amp;P of &amp;N</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54"/>
  <sheetViews>
    <sheetView workbookViewId="0">
      <selection activeCell="C21" sqref="C21"/>
    </sheetView>
  </sheetViews>
  <sheetFormatPr defaultRowHeight="12" x14ac:dyDescent="0.15"/>
  <cols>
    <col min="1" max="1" width="14.5" customWidth="1"/>
    <col min="2" max="3" width="13.5" customWidth="1"/>
    <col min="10" max="10" width="9.875" bestFit="1" customWidth="1"/>
  </cols>
  <sheetData>
    <row r="1" spans="1:10" ht="15.75" x14ac:dyDescent="0.25">
      <c r="A1" s="1"/>
      <c r="B1" s="1"/>
      <c r="C1" s="1"/>
      <c r="D1" s="1"/>
      <c r="E1" s="1"/>
      <c r="F1" s="1"/>
    </row>
    <row r="2" spans="1:10" ht="15.75" x14ac:dyDescent="0.25">
      <c r="A2" s="1"/>
      <c r="B2" s="1"/>
      <c r="C2" s="1"/>
      <c r="D2" s="1"/>
      <c r="E2" s="1"/>
      <c r="F2" s="1"/>
    </row>
    <row r="3" spans="1:10" ht="15.75" x14ac:dyDescent="0.25">
      <c r="A3" s="1"/>
      <c r="B3" s="1"/>
      <c r="C3" s="1"/>
      <c r="D3" s="1"/>
      <c r="E3" s="1"/>
      <c r="F3" s="1"/>
    </row>
    <row r="4" spans="1:10" ht="15.75" x14ac:dyDescent="0.25">
      <c r="A4" s="1"/>
      <c r="B4" s="1" t="s">
        <v>32</v>
      </c>
      <c r="C4" s="1"/>
      <c r="D4" s="6" t="s">
        <v>35</v>
      </c>
      <c r="E4" s="1"/>
      <c r="F4" s="1"/>
      <c r="G4" t="s">
        <v>37</v>
      </c>
      <c r="I4" t="s">
        <v>31</v>
      </c>
      <c r="J4">
        <v>999.97357999999997</v>
      </c>
    </row>
    <row r="5" spans="1:10" ht="15.75" x14ac:dyDescent="0.25">
      <c r="A5" s="1" t="s">
        <v>36</v>
      </c>
      <c r="B5" s="1" t="s">
        <v>24</v>
      </c>
      <c r="C5" s="1"/>
      <c r="D5" s="1"/>
      <c r="E5" s="1"/>
      <c r="F5" s="1"/>
      <c r="I5" t="s">
        <v>26</v>
      </c>
      <c r="J5" s="38">
        <v>7.0133999999999998E-8</v>
      </c>
    </row>
    <row r="6" spans="1:10" ht="18.75" x14ac:dyDescent="0.25">
      <c r="A6" s="1">
        <v>5</v>
      </c>
      <c r="B6" s="39">
        <f>(999.97358*(1-(0.000000070134*(A6-3.9818)+0.000007926504*(A6-3.9818)^2+-0.00000007575677*(A6-3.9818)^3+0.0000000007314894*(A6-3.9818)^4+-0.000000000003596458*(A6-3.9818)^5)))/1000</f>
        <v>0.99996537033869526</v>
      </c>
      <c r="C6" s="1" t="s">
        <v>25</v>
      </c>
      <c r="D6" s="7">
        <f>ROUND(((999.84847)+(0.06337563*A6)-(0.008523829*A6^2)+(0.00006943248*A6^3)-(0.0000003821216*A6^4))/1000,6)</f>
        <v>0.99996099999999999</v>
      </c>
      <c r="E6" s="1" t="s">
        <v>25</v>
      </c>
      <c r="F6" s="1"/>
      <c r="G6" s="40">
        <f>(B6-D6)*1000000</f>
        <v>4.3703386952698153</v>
      </c>
      <c r="H6" t="s">
        <v>38</v>
      </c>
      <c r="I6" t="s">
        <v>27</v>
      </c>
      <c r="J6" s="38">
        <v>7.9265040000000004E-6</v>
      </c>
    </row>
    <row r="7" spans="1:10" ht="18.75" x14ac:dyDescent="0.25">
      <c r="A7">
        <v>6</v>
      </c>
      <c r="B7" s="39">
        <f t="shared" ref="B7:B41" si="0">(999.97358*(1-(0.000000070134*(A7-3.9818)+0.000007926504*(A7-3.9818)^2+-0.00000007575677*(A7-3.9818)^3+0.0000000007314894*(A7-3.9818)^4+-0.000000000003596458*(A7-3.9818)^5)))/1000</f>
        <v>0.99994176434026305</v>
      </c>
      <c r="C7" s="1" t="s">
        <v>25</v>
      </c>
      <c r="D7" s="7">
        <f t="shared" ref="D7:D41" si="1">ROUND(((999.84847)+(0.06337563*A7)-(0.008523829*A7^2)+(0.00006943248*A7^3)-(0.0000003821216*A7^4))/1000,6)</f>
        <v>0.99993600000000005</v>
      </c>
      <c r="E7" s="1" t="s">
        <v>25</v>
      </c>
      <c r="F7" s="1"/>
      <c r="G7" s="40">
        <f t="shared" ref="G7:G41" si="2">(B7-D7)*1000000</f>
        <v>5.7643402630036533</v>
      </c>
      <c r="I7" t="s">
        <v>23</v>
      </c>
      <c r="J7" s="38">
        <v>-7.5756769999999994E-8</v>
      </c>
    </row>
    <row r="8" spans="1:10" ht="18.75" x14ac:dyDescent="0.25">
      <c r="A8" s="1">
        <v>7</v>
      </c>
      <c r="B8" s="39">
        <f t="shared" si="0"/>
        <v>0.99990318653073873</v>
      </c>
      <c r="C8" s="1" t="s">
        <v>25</v>
      </c>
      <c r="D8" s="7">
        <f t="shared" si="1"/>
        <v>0.99989700000000004</v>
      </c>
      <c r="E8" s="1" t="s">
        <v>25</v>
      </c>
      <c r="F8" s="1"/>
      <c r="G8" s="40">
        <f t="shared" si="2"/>
        <v>6.1865307386943513</v>
      </c>
      <c r="I8" t="s">
        <v>28</v>
      </c>
      <c r="J8" s="38">
        <v>7.3148940000000004E-10</v>
      </c>
    </row>
    <row r="9" spans="1:10" ht="18.75" x14ac:dyDescent="0.25">
      <c r="A9">
        <v>8</v>
      </c>
      <c r="B9" s="39">
        <f t="shared" si="0"/>
        <v>0.99985004865331195</v>
      </c>
      <c r="C9" s="1" t="s">
        <v>25</v>
      </c>
      <c r="D9" s="7">
        <f t="shared" si="1"/>
        <v>0.99984399999999996</v>
      </c>
      <c r="E9" s="1" t="s">
        <v>25</v>
      </c>
      <c r="F9" s="1"/>
      <c r="G9" s="40">
        <f t="shared" si="2"/>
        <v>6.0486533119963326</v>
      </c>
      <c r="I9" t="s">
        <v>29</v>
      </c>
      <c r="J9" s="38">
        <v>-3.5964579999999999E-12</v>
      </c>
    </row>
    <row r="10" spans="1:10" ht="18.75" x14ac:dyDescent="0.25">
      <c r="A10" s="1">
        <v>9</v>
      </c>
      <c r="B10" s="39">
        <f t="shared" si="0"/>
        <v>0.99978274619843577</v>
      </c>
      <c r="C10" s="1" t="s">
        <v>25</v>
      </c>
      <c r="D10" s="7">
        <f t="shared" si="1"/>
        <v>0.99977700000000003</v>
      </c>
      <c r="E10" s="1" t="s">
        <v>25</v>
      </c>
      <c r="F10" s="1"/>
      <c r="G10" s="40">
        <f t="shared" si="2"/>
        <v>5.746198435740979</v>
      </c>
      <c r="I10" t="s">
        <v>30</v>
      </c>
      <c r="J10" s="38">
        <v>3.9817999999999998</v>
      </c>
    </row>
    <row r="11" spans="1:10" ht="18.75" x14ac:dyDescent="0.25">
      <c r="A11">
        <v>10</v>
      </c>
      <c r="B11" s="39">
        <f t="shared" si="0"/>
        <v>0.99970165883539031</v>
      </c>
      <c r="C11" s="1" t="s">
        <v>25</v>
      </c>
      <c r="D11" s="7">
        <f t="shared" si="1"/>
        <v>0.999695</v>
      </c>
      <c r="E11" s="1" t="s">
        <v>25</v>
      </c>
      <c r="F11" s="1"/>
      <c r="G11" s="40">
        <f t="shared" si="2"/>
        <v>6.6588353903052067</v>
      </c>
    </row>
    <row r="12" spans="1:10" ht="18.75" x14ac:dyDescent="0.25">
      <c r="A12" s="1">
        <v>11</v>
      </c>
      <c r="B12" s="39">
        <f t="shared" si="0"/>
        <v>0.99960715084384555</v>
      </c>
      <c r="C12" s="1" t="s">
        <v>25</v>
      </c>
      <c r="D12" s="7">
        <f t="shared" si="1"/>
        <v>0.99960099999999996</v>
      </c>
      <c r="E12" s="1" t="s">
        <v>25</v>
      </c>
      <c r="F12" s="1"/>
      <c r="G12" s="40">
        <f t="shared" si="2"/>
        <v>6.1508438455870618</v>
      </c>
    </row>
    <row r="13" spans="1:10" ht="18.75" x14ac:dyDescent="0.25">
      <c r="A13">
        <v>12</v>
      </c>
      <c r="B13" s="39">
        <f t="shared" si="0"/>
        <v>0.99949957154542635</v>
      </c>
      <c r="C13" s="1" t="s">
        <v>25</v>
      </c>
      <c r="D13" s="7">
        <f t="shared" si="1"/>
        <v>0.99949399999999999</v>
      </c>
      <c r="E13" s="1" t="s">
        <v>25</v>
      </c>
      <c r="F13" s="1"/>
      <c r="G13" s="40">
        <f t="shared" si="2"/>
        <v>5.571545426352742</v>
      </c>
    </row>
    <row r="14" spans="1:10" ht="18.75" x14ac:dyDescent="0.25">
      <c r="A14" s="1">
        <v>13</v>
      </c>
      <c r="B14" s="39">
        <f t="shared" si="0"/>
        <v>0.9993792557352742</v>
      </c>
      <c r="C14" s="1" t="s">
        <v>25</v>
      </c>
      <c r="D14" s="7">
        <f t="shared" si="1"/>
        <v>0.99937299999999996</v>
      </c>
      <c r="E14" s="1" t="s">
        <v>25</v>
      </c>
      <c r="F14" s="1"/>
      <c r="G14" s="40">
        <f t="shared" si="2"/>
        <v>6.2557352742409478</v>
      </c>
    </row>
    <row r="15" spans="1:10" ht="18.75" x14ac:dyDescent="0.25">
      <c r="A15">
        <v>14</v>
      </c>
      <c r="B15" s="39">
        <f t="shared" si="0"/>
        <v>0.99924652411361248</v>
      </c>
      <c r="C15" s="1" t="s">
        <v>25</v>
      </c>
      <c r="D15" s="7">
        <f t="shared" si="1"/>
        <v>0.99924100000000005</v>
      </c>
      <c r="E15" s="1" t="s">
        <v>25</v>
      </c>
      <c r="F15" s="1"/>
      <c r="G15" s="40">
        <f t="shared" si="2"/>
        <v>5.5241136124317691</v>
      </c>
    </row>
    <row r="16" spans="1:10" ht="18.75" x14ac:dyDescent="0.25">
      <c r="A16" s="1">
        <v>15</v>
      </c>
      <c r="B16" s="39">
        <f t="shared" si="0"/>
        <v>0.99910168371730923</v>
      </c>
      <c r="C16" s="1" t="s">
        <v>25</v>
      </c>
      <c r="D16" s="7">
        <f t="shared" si="1"/>
        <v>0.99909599999999998</v>
      </c>
      <c r="E16" s="1" t="s">
        <v>25</v>
      </c>
      <c r="F16" s="1"/>
      <c r="G16" s="40">
        <f t="shared" si="2"/>
        <v>5.6837173092461057</v>
      </c>
    </row>
    <row r="17" spans="1:7" ht="18.75" x14ac:dyDescent="0.25">
      <c r="A17">
        <v>16</v>
      </c>
      <c r="B17" s="39">
        <f t="shared" si="0"/>
        <v>0.99894502835144017</v>
      </c>
      <c r="C17" s="1" t="s">
        <v>25</v>
      </c>
      <c r="D17" s="7">
        <f t="shared" si="1"/>
        <v>0.99894000000000005</v>
      </c>
      <c r="E17" s="1" t="s">
        <v>25</v>
      </c>
      <c r="F17" s="1"/>
      <c r="G17" s="40">
        <f t="shared" si="2"/>
        <v>5.0283514401172624</v>
      </c>
    </row>
    <row r="18" spans="1:7" ht="18.75" x14ac:dyDescent="0.25">
      <c r="A18" s="1">
        <v>17</v>
      </c>
      <c r="B18" s="39">
        <f t="shared" si="0"/>
        <v>0.99877683902085335</v>
      </c>
      <c r="C18" s="1" t="s">
        <v>25</v>
      </c>
      <c r="D18" s="7">
        <f t="shared" si="1"/>
        <v>0.99877199999999999</v>
      </c>
      <c r="E18" s="1" t="s">
        <v>25</v>
      </c>
      <c r="F18" s="1"/>
      <c r="G18" s="40">
        <f t="shared" si="2"/>
        <v>4.8390208533533041</v>
      </c>
    </row>
    <row r="19" spans="1:7" ht="18.75" x14ac:dyDescent="0.25">
      <c r="A19">
        <v>18</v>
      </c>
      <c r="B19" s="39">
        <f t="shared" si="0"/>
        <v>0.99859738436173207</v>
      </c>
      <c r="C19" s="1" t="s">
        <v>25</v>
      </c>
      <c r="D19" s="7">
        <f t="shared" si="1"/>
        <v>0.99859200000000004</v>
      </c>
      <c r="E19" s="1" t="s">
        <v>25</v>
      </c>
      <c r="F19" s="1"/>
      <c r="G19" s="40">
        <f t="shared" si="2"/>
        <v>5.3843617320303849</v>
      </c>
    </row>
    <row r="20" spans="1:7" ht="18.75" x14ac:dyDescent="0.25">
      <c r="A20" s="1">
        <v>19</v>
      </c>
      <c r="B20" s="39">
        <f t="shared" si="0"/>
        <v>0.99840692107315865</v>
      </c>
      <c r="C20" s="1" t="s">
        <v>25</v>
      </c>
      <c r="D20" s="7">
        <f t="shared" si="1"/>
        <v>0.99840200000000001</v>
      </c>
      <c r="E20" s="1" t="s">
        <v>25</v>
      </c>
      <c r="F20" s="1"/>
      <c r="G20" s="40">
        <f t="shared" si="2"/>
        <v>4.9210731586368794</v>
      </c>
    </row>
    <row r="21" spans="1:7" ht="18.75" x14ac:dyDescent="0.25">
      <c r="A21">
        <v>20</v>
      </c>
      <c r="B21" s="39">
        <f t="shared" si="0"/>
        <v>0.99820569434867756</v>
      </c>
      <c r="C21" s="1" t="s">
        <v>25</v>
      </c>
      <c r="D21" s="7">
        <f t="shared" si="1"/>
        <v>0.998201</v>
      </c>
      <c r="E21" s="1" t="s">
        <v>25</v>
      </c>
      <c r="F21" s="1"/>
      <c r="G21" s="40">
        <f t="shared" si="2"/>
        <v>4.6943486775585797</v>
      </c>
    </row>
    <row r="22" spans="1:7" ht="18.75" x14ac:dyDescent="0.25">
      <c r="A22" s="1">
        <v>21</v>
      </c>
      <c r="B22" s="39">
        <f t="shared" si="0"/>
        <v>0.99799393830785954</v>
      </c>
      <c r="C22" s="1" t="s">
        <v>25</v>
      </c>
      <c r="D22" s="7">
        <f t="shared" si="1"/>
        <v>0.99798900000000001</v>
      </c>
      <c r="E22" s="1" t="s">
        <v>25</v>
      </c>
      <c r="F22" s="1"/>
      <c r="G22" s="40">
        <f t="shared" si="2"/>
        <v>4.938307859525537</v>
      </c>
    </row>
    <row r="23" spans="1:7" ht="18.75" x14ac:dyDescent="0.25">
      <c r="A23">
        <v>22</v>
      </c>
      <c r="B23" s="39">
        <f t="shared" si="0"/>
        <v>0.99777187642786525</v>
      </c>
      <c r="C23" s="1" t="s">
        <v>25</v>
      </c>
      <c r="D23" s="7">
        <f t="shared" si="1"/>
        <v>0.99776699999999996</v>
      </c>
      <c r="E23" s="1" t="s">
        <v>25</v>
      </c>
      <c r="F23" s="1"/>
      <c r="G23" s="40">
        <f t="shared" si="2"/>
        <v>4.8764278652857485</v>
      </c>
    </row>
    <row r="24" spans="1:7" ht="18.75" x14ac:dyDescent="0.25">
      <c r="A24" s="1">
        <v>23</v>
      </c>
      <c r="B24" s="39">
        <f t="shared" si="0"/>
        <v>0.99753972197500773</v>
      </c>
      <c r="C24" s="1" t="s">
        <v>25</v>
      </c>
      <c r="D24" s="7">
        <f t="shared" si="1"/>
        <v>0.99753499999999995</v>
      </c>
      <c r="E24" s="1" t="s">
        <v>25</v>
      </c>
      <c r="F24" s="1"/>
      <c r="G24" s="40">
        <f t="shared" si="2"/>
        <v>4.7219750077820422</v>
      </c>
    </row>
    <row r="25" spans="1:7" ht="18.75" x14ac:dyDescent="0.25">
      <c r="A25">
        <v>24</v>
      </c>
      <c r="B25" s="39">
        <f t="shared" si="0"/>
        <v>0.99729767843631756</v>
      </c>
      <c r="C25" s="1" t="s">
        <v>25</v>
      </c>
      <c r="D25" s="7">
        <f t="shared" si="1"/>
        <v>0.99729299999999999</v>
      </c>
      <c r="E25" s="1" t="s">
        <v>25</v>
      </c>
      <c r="F25" s="1"/>
      <c r="G25" s="40">
        <f t="shared" si="2"/>
        <v>4.6784363175733645</v>
      </c>
    </row>
    <row r="26" spans="1:7" ht="18.75" x14ac:dyDescent="0.25">
      <c r="A26" s="1">
        <v>25</v>
      </c>
      <c r="B26" s="39">
        <f t="shared" si="0"/>
        <v>0.99704593995110524</v>
      </c>
      <c r="C26" s="1" t="s">
        <v>25</v>
      </c>
      <c r="D26" s="7">
        <f t="shared" si="1"/>
        <v>0.99704099999999996</v>
      </c>
      <c r="E26" s="1" t="s">
        <v>25</v>
      </c>
      <c r="G26" s="40">
        <f t="shared" si="2"/>
        <v>4.9399511052872214</v>
      </c>
    </row>
    <row r="27" spans="1:7" ht="18.75" x14ac:dyDescent="0.25">
      <c r="A27">
        <v>26</v>
      </c>
      <c r="B27" s="39">
        <f t="shared" si="0"/>
        <v>0.99678469174252482</v>
      </c>
      <c r="C27" s="1" t="s">
        <v>25</v>
      </c>
      <c r="D27" s="7">
        <f t="shared" si="1"/>
        <v>0.99678</v>
      </c>
      <c r="E27" s="1" t="s">
        <v>25</v>
      </c>
      <c r="G27" s="40">
        <f t="shared" si="2"/>
        <v>4.6917425248205191</v>
      </c>
    </row>
    <row r="28" spans="1:7" ht="18.75" x14ac:dyDescent="0.25">
      <c r="A28" s="1">
        <v>27</v>
      </c>
      <c r="B28" s="39">
        <f t="shared" si="0"/>
        <v>0.9965141105491383</v>
      </c>
      <c r="C28" s="1" t="s">
        <v>25</v>
      </c>
      <c r="D28" s="7">
        <f t="shared" si="1"/>
        <v>0.99650899999999998</v>
      </c>
      <c r="E28" s="1" t="s">
        <v>25</v>
      </c>
      <c r="G28" s="40">
        <f t="shared" si="2"/>
        <v>5.1105491383207635</v>
      </c>
    </row>
    <row r="29" spans="1:7" ht="18.75" x14ac:dyDescent="0.25">
      <c r="A29">
        <v>28</v>
      </c>
      <c r="B29" s="39">
        <f t="shared" si="0"/>
        <v>0.99623436505647844</v>
      </c>
      <c r="C29" s="1" t="s">
        <v>25</v>
      </c>
      <c r="D29" s="7">
        <f t="shared" si="1"/>
        <v>0.99622999999999995</v>
      </c>
      <c r="E29" s="1" t="s">
        <v>25</v>
      </c>
      <c r="G29" s="40">
        <f t="shared" si="2"/>
        <v>4.3650564784947221</v>
      </c>
    </row>
    <row r="30" spans="1:7" ht="18.75" x14ac:dyDescent="0.25">
      <c r="A30" s="1">
        <v>29</v>
      </c>
      <c r="B30" s="39">
        <f t="shared" si="0"/>
        <v>0.995945616328612</v>
      </c>
      <c r="C30" s="1" t="s">
        <v>25</v>
      </c>
      <c r="D30" s="7">
        <f t="shared" si="1"/>
        <v>0.99594099999999997</v>
      </c>
      <c r="E30" s="1" t="s">
        <v>25</v>
      </c>
      <c r="G30" s="40">
        <f t="shared" si="2"/>
        <v>4.616328612039311</v>
      </c>
    </row>
    <row r="31" spans="1:7" ht="18.75" x14ac:dyDescent="0.25">
      <c r="A31">
        <v>30</v>
      </c>
      <c r="B31" s="39">
        <f t="shared" si="0"/>
        <v>0.99564801823970484</v>
      </c>
      <c r="C31" s="1" t="s">
        <v>25</v>
      </c>
      <c r="D31" s="7">
        <f t="shared" si="1"/>
        <v>0.99564299999999994</v>
      </c>
      <c r="E31" s="1" t="s">
        <v>25</v>
      </c>
      <c r="G31" s="40">
        <f t="shared" si="2"/>
        <v>5.0182397048903482</v>
      </c>
    </row>
    <row r="32" spans="1:7" ht="18.75" x14ac:dyDescent="0.25">
      <c r="A32" s="1">
        <v>31</v>
      </c>
      <c r="B32" s="39">
        <f t="shared" si="0"/>
        <v>0.99534171790558335</v>
      </c>
      <c r="C32" s="1" t="s">
        <v>25</v>
      </c>
      <c r="D32" s="7">
        <f t="shared" si="1"/>
        <v>0.99533700000000003</v>
      </c>
      <c r="E32" s="1" t="s">
        <v>25</v>
      </c>
      <c r="G32" s="40">
        <f t="shared" si="2"/>
        <v>4.7179055833179717</v>
      </c>
    </row>
    <row r="33" spans="1:7" ht="18.75" x14ac:dyDescent="0.25">
      <c r="A33">
        <v>32</v>
      </c>
      <c r="B33" s="39">
        <f t="shared" si="0"/>
        <v>0.99502685611529962</v>
      </c>
      <c r="C33" s="1" t="s">
        <v>25</v>
      </c>
      <c r="D33" s="7">
        <f t="shared" si="1"/>
        <v>0.99502299999999999</v>
      </c>
      <c r="E33" s="1" t="s">
        <v>25</v>
      </c>
      <c r="G33" s="40">
        <f t="shared" si="2"/>
        <v>3.8561152996274828</v>
      </c>
    </row>
    <row r="34" spans="1:7" ht="18.75" x14ac:dyDescent="0.25">
      <c r="A34" s="1">
        <v>33</v>
      </c>
      <c r="B34" s="39">
        <f t="shared" si="0"/>
        <v>0.99470356776269475</v>
      </c>
      <c r="C34" s="1" t="s">
        <v>25</v>
      </c>
      <c r="D34" s="7">
        <f t="shared" si="1"/>
        <v>0.994699</v>
      </c>
      <c r="E34" s="1" t="s">
        <v>25</v>
      </c>
      <c r="G34" s="40">
        <f t="shared" si="2"/>
        <v>4.5677626947515648</v>
      </c>
    </row>
    <row r="35" spans="1:7" ht="18.75" x14ac:dyDescent="0.25">
      <c r="A35">
        <v>34</v>
      </c>
      <c r="B35" s="39">
        <f t="shared" si="0"/>
        <v>0.99437198227796175</v>
      </c>
      <c r="C35" s="1" t="s">
        <v>25</v>
      </c>
      <c r="D35" s="7">
        <f t="shared" si="1"/>
        <v>0.99436800000000003</v>
      </c>
      <c r="E35" s="1" t="s">
        <v>25</v>
      </c>
      <c r="G35" s="40">
        <f t="shared" si="2"/>
        <v>3.98227796172268</v>
      </c>
    </row>
    <row r="36" spans="1:7" ht="18.75" x14ac:dyDescent="0.25">
      <c r="A36" s="1">
        <v>35</v>
      </c>
      <c r="B36" s="39">
        <f t="shared" si="0"/>
        <v>0.99403222405920943</v>
      </c>
      <c r="C36" s="1" t="s">
        <v>25</v>
      </c>
      <c r="D36" s="7">
        <f t="shared" si="1"/>
        <v>0.99402800000000002</v>
      </c>
      <c r="E36" s="1" t="s">
        <v>25</v>
      </c>
      <c r="G36" s="40">
        <f t="shared" si="2"/>
        <v>4.2240592094122675</v>
      </c>
    </row>
    <row r="37" spans="1:7" ht="18.75" x14ac:dyDescent="0.25">
      <c r="A37">
        <v>36</v>
      </c>
      <c r="B37" s="39">
        <f t="shared" si="0"/>
        <v>0.99368441290402632</v>
      </c>
      <c r="C37" s="1" t="s">
        <v>25</v>
      </c>
      <c r="D37" s="7">
        <f t="shared" si="1"/>
        <v>0.99368100000000004</v>
      </c>
      <c r="E37" s="1" t="s">
        <v>25</v>
      </c>
      <c r="G37" s="40">
        <f t="shared" si="2"/>
        <v>3.4129040262786958</v>
      </c>
    </row>
    <row r="38" spans="1:7" ht="18.75" x14ac:dyDescent="0.25">
      <c r="A38" s="1">
        <v>37</v>
      </c>
      <c r="B38" s="39">
        <f t="shared" si="0"/>
        <v>0.99332866444104362</v>
      </c>
      <c r="C38" s="1" t="s">
        <v>25</v>
      </c>
      <c r="D38" s="7">
        <f t="shared" si="1"/>
        <v>0.99332500000000001</v>
      </c>
      <c r="E38" s="1" t="s">
        <v>25</v>
      </c>
      <c r="G38" s="40">
        <f t="shared" si="2"/>
        <v>3.6644410436048602</v>
      </c>
    </row>
    <row r="39" spans="1:7" ht="18.75" x14ac:dyDescent="0.25">
      <c r="A39">
        <v>38</v>
      </c>
      <c r="B39" s="39">
        <f t="shared" si="0"/>
        <v>0.9929650905614994</v>
      </c>
      <c r="C39" s="1" t="s">
        <v>25</v>
      </c>
      <c r="D39" s="7">
        <f t="shared" si="1"/>
        <v>0.99296099999999998</v>
      </c>
      <c r="E39" s="1" t="s">
        <v>25</v>
      </c>
      <c r="G39" s="40">
        <f t="shared" si="2"/>
        <v>4.0905614994146688</v>
      </c>
    </row>
    <row r="40" spans="1:7" ht="18.75" x14ac:dyDescent="0.25">
      <c r="A40" s="1">
        <v>39</v>
      </c>
      <c r="B40" s="39">
        <f t="shared" si="0"/>
        <v>0.99259379985080143</v>
      </c>
      <c r="C40" s="1" t="s">
        <v>25</v>
      </c>
      <c r="D40" s="7">
        <f t="shared" si="1"/>
        <v>0.99258999999999997</v>
      </c>
      <c r="E40" s="1" t="s">
        <v>25</v>
      </c>
      <c r="G40" s="40">
        <f t="shared" si="2"/>
        <v>3.7998508014558396</v>
      </c>
    </row>
    <row r="41" spans="1:7" ht="18.75" x14ac:dyDescent="0.25">
      <c r="A41">
        <v>40</v>
      </c>
      <c r="B41" s="39">
        <f t="shared" si="0"/>
        <v>0.99221489802009144</v>
      </c>
      <c r="C41" s="1" t="s">
        <v>25</v>
      </c>
      <c r="D41" s="7">
        <f t="shared" si="1"/>
        <v>0.99221099999999995</v>
      </c>
      <c r="E41" s="1" t="s">
        <v>25</v>
      </c>
      <c r="G41" s="40">
        <f t="shared" si="2"/>
        <v>3.8980200914862095</v>
      </c>
    </row>
    <row r="53" spans="11:11" x14ac:dyDescent="0.15">
      <c r="K53" t="s">
        <v>33</v>
      </c>
    </row>
    <row r="54" spans="11:11" x14ac:dyDescent="0.15">
      <c r="K54" t="s">
        <v>34</v>
      </c>
    </row>
  </sheetData>
  <phoneticPr fontId="0" type="noConversion"/>
  <pageMargins left="0.75" right="0.75" top="1" bottom="1" header="0.5" footer="0.5"/>
  <pageSetup orientation="portrait" r:id="rId1"/>
  <headerFooter alignWithMargins="0"/>
  <drawing r:id="rId2"/>
  <legacyDrawing r:id="rId3"/>
  <oleObjects>
    <mc:AlternateContent xmlns:mc="http://schemas.openxmlformats.org/markup-compatibility/2006">
      <mc:Choice Requires="x14">
        <oleObject progId="Excel.Sheet.8" shapeId="1026" r:id="rId4">
          <objectPr defaultSize="0" autoPict="0" r:id="rId5">
            <anchor moveWithCells="1" sizeWithCells="1">
              <from>
                <xdr:col>9</xdr:col>
                <xdr:colOff>704850</xdr:colOff>
                <xdr:row>35</xdr:row>
                <xdr:rowOff>28575</xdr:rowOff>
              </from>
              <to>
                <xdr:col>19</xdr:col>
                <xdr:colOff>666750</xdr:colOff>
                <xdr:row>51</xdr:row>
                <xdr:rowOff>104775</xdr:rowOff>
              </to>
            </anchor>
          </objectPr>
        </oleObject>
      </mc:Choice>
      <mc:Fallback>
        <oleObject progId="Excel.Sheet.8" shapeId="1026"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7</vt:i4>
      </vt:variant>
      <vt:variant>
        <vt:lpstr>Charts</vt:lpstr>
      </vt:variant>
      <vt:variant>
        <vt:i4>1</vt:i4>
      </vt:variant>
      <vt:variant>
        <vt:lpstr>Named Ranges</vt:lpstr>
      </vt:variant>
      <vt:variant>
        <vt:i4>5</vt:i4>
      </vt:variant>
    </vt:vector>
  </HeadingPairs>
  <TitlesOfParts>
    <vt:vector size="13" baseType="lpstr">
      <vt:lpstr>Documentation</vt:lpstr>
      <vt:lpstr>SOP 14, OptA Data Set 1</vt:lpstr>
      <vt:lpstr>SOP 14, OptA Data Set 2</vt:lpstr>
      <vt:lpstr>TD Glassware, SOP 14, OptA</vt:lpstr>
      <vt:lpstr>TC Glassware, SOP 14, OptA</vt:lpstr>
      <vt:lpstr>CIPM Air Density 1981_91</vt:lpstr>
      <vt:lpstr>Water Density</vt:lpstr>
      <vt:lpstr>Water Density Chart</vt:lpstr>
      <vt:lpstr>Documentation!Print_Area</vt:lpstr>
      <vt:lpstr>'SOP 14, OptA Data Set 1'!Print_Area</vt:lpstr>
      <vt:lpstr>'SOP 14, OptA Data Set 2'!Print_Area</vt:lpstr>
      <vt:lpstr>'TC Glassware, SOP 14, OptA'!Print_Area</vt:lpstr>
      <vt:lpstr>'TD Glassware, SOP 14, OptA'!Print_Area</vt:lpstr>
    </vt:vector>
  </TitlesOfParts>
  <Company>NIST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Georgia L. Harris</dc:creator>
  <cp:lastModifiedBy>Georgia L Harris</cp:lastModifiedBy>
  <cp:lastPrinted>2013-01-14T15:22:57Z</cp:lastPrinted>
  <dcterms:created xsi:type="dcterms:W3CDTF">2003-03-08T20:22:50Z</dcterms:created>
  <dcterms:modified xsi:type="dcterms:W3CDTF">2013-01-26T20:39:57Z</dcterms:modified>
</cp:coreProperties>
</file>