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istgov-my.sharepoint.com/personal/sso2_nist_gov/Documents/Desktop/CHIPS/PRA/Pre-App PRA Package/"/>
    </mc:Choice>
  </mc:AlternateContent>
  <xr:revisionPtr revIDLastSave="3" documentId="8_{CA9D02BD-9A39-407C-A43C-9A64C94E5B1C}" xr6:coauthVersionLast="47" xr6:coauthVersionMax="47" xr10:uidLastSave="{7AA1D46B-D2C8-4297-9797-307E4CA4B8AD}"/>
  <bookViews>
    <workbookView xWindow="-110" yWindow="-110" windowWidth="19420" windowHeight="10420" activeTab="2" xr2:uid="{00000000-000D-0000-FFFF-FFFF00000000}"/>
  </bookViews>
  <sheets>
    <sheet name="Overview" sheetId="26" r:id="rId1"/>
    <sheet name="Inputs &gt;&gt;" sheetId="21" r:id="rId2"/>
    <sheet name="Control Panel" sheetId="14" r:id="rId3"/>
    <sheet name="Processing &gt;&gt;" sheetId="23" r:id="rId4"/>
    <sheet name="Assumptions Processing" sheetId="1" r:id="rId5"/>
    <sheet name="Depreciation Schedule" sheetId="12" r:id="rId6"/>
    <sheet name="Outputs &gt;&gt;" sheetId="24" r:id="rId7"/>
    <sheet name="Income Statement" sheetId="3" r:id="rId8"/>
    <sheet name="CashFlow" sheetId="4" r:id="rId9"/>
    <sheet name="Balance Sheet" sheetId="2" r:id="rId10"/>
    <sheet name="Other &gt;&gt;" sheetId="25" r:id="rId11"/>
    <sheet name="Drop-Downs" sheetId="15" r:id="rId12"/>
    <sheet name="Module1" sheetId="7" state="veryHidden" r:id="rId13"/>
  </sheets>
  <externalReferences>
    <externalReference r:id="rId14"/>
    <externalReference r:id="rId15"/>
    <externalReference r:id="rId16"/>
  </externalReferences>
  <definedNames>
    <definedName name="asd">#REF!</definedName>
    <definedName name="BegChgRecs">'[1]Summary of Changes'!#REF!</definedName>
    <definedName name="BegFSC">#REF!</definedName>
    <definedName name="BegFSO">#REF!</definedName>
    <definedName name="Capacity">'[2]Control Panel'!$D$144</definedName>
    <definedName name="Changes">#REF!</definedName>
    <definedName name="ChartFooter200mm">#REF!</definedName>
    <definedName name="ChartFooter300mm">#REF!</definedName>
    <definedName name="ChartFooterMemsSensor">#REF!</definedName>
    <definedName name="ChartFooterPowerCompound">#REF!</definedName>
    <definedName name="ChartFooterText">#REF!</definedName>
    <definedName name="ChartMonthYear">#REF!</definedName>
    <definedName name="CIQWBGuid" localSheetId="1" hidden="1">"2cd8126d-26c3-430c-b7fa-a069e3a1fc62"</definedName>
    <definedName name="CIQWBGuid" localSheetId="10" hidden="1">"2cd8126d-26c3-430c-b7fa-a069e3a1fc62"</definedName>
    <definedName name="CIQWBGuid" localSheetId="6" hidden="1">"2cd8126d-26c3-430c-b7fa-a069e3a1fc62"</definedName>
    <definedName name="CIQWBGuid" localSheetId="0" hidden="1">"2cd8126d-26c3-430c-b7fa-a069e3a1fc62"</definedName>
    <definedName name="CIQWBGuid" localSheetId="3" hidden="1">"2cd8126d-26c3-430c-b7fa-a069e3a1fc62"</definedName>
    <definedName name="CIQWBGuid" hidden="1">"5850658a-f160-4e02-90b4-55b603cd0aa0"</definedName>
    <definedName name="CIQWBInfo" hidden="1">"{ ""CIQVersion"":""9.49.2423.4439"" }"</definedName>
    <definedName name="Consumables">'[2]Control Panel'!#REF!</definedName>
    <definedName name="CopyrightText">#REF!</definedName>
    <definedName name="CritCapFoundOwners">#REF!</definedName>
    <definedName name="DSCR_min">'[2]Control Panel'!$C$58</definedName>
    <definedName name="Fed_Grants">'[2]Control Panel'!$G$21</definedName>
    <definedName name="Fed_loans">'[2]Control Panel'!$G$23</definedName>
    <definedName name="Forecast">#REF!</definedName>
    <definedName name="FSCDB">#REF!</definedName>
    <definedName name="FSODB">#REF!</definedName>
    <definedName name="Funding">'[2]Control Panel'!#REF!</definedName>
    <definedName name="Funding_needs">'[2]Control Panel'!$C$196</definedName>
    <definedName name="GeomTable">OFFSET(#REF!,1,0,COUNTA(#REF!),4)</definedName>
    <definedName name="Inc_CapEx">'[2]Control Panel'!#REF!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44868.5865277778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abor">'[2]Control Panel'!#REF!</definedName>
    <definedName name="Materials">'[2]Control Panel'!#REF!</definedName>
    <definedName name="Op_margin">'[2]Control Panel'!#REF!</definedName>
    <definedName name="OutputCapFoundOwners">#REF!</definedName>
    <definedName name="Pal_Workbook_GUID" hidden="1">"ICTVASY1R5KBNKB3C1QFHNBV"</definedName>
    <definedName name="PDDB">OFFSET(#REF!,0,0,COUNTA(#REF!), COUNTA(#REF!))</definedName>
    <definedName name="pmt_per_yr">'[2]Control Panel'!$C$64</definedName>
    <definedName name="Price">'[2]Control Panel'!$C$145</definedName>
    <definedName name="Price_Decline">'[2]Control Panel'!#REF!</definedName>
    <definedName name="_xlnm.Print_Area" localSheetId="4">'Assumptions Processing'!$B$4:$X$68</definedName>
    <definedName name="_xlnm.Print_Area" localSheetId="9">'Balance Sheet'!$B$4:$W$50</definedName>
    <definedName name="_xlnm.Print_Area" localSheetId="8">CashFlow!$B$4:$W$54</definedName>
    <definedName name="_xlnm.Print_Area" localSheetId="7">'Income Statement'!$B$4:$X$45</definedName>
    <definedName name="_xlnm.Print_Titles" localSheetId="4">'Assumptions Processing'!#REF!</definedName>
    <definedName name="_xlnm.Print_Titles" localSheetId="8">CashFlow!$4:$4</definedName>
    <definedName name="prod_start">'[2]Control Panel'!#REF!</definedName>
    <definedName name="ProdTypeConvTbl">OFFSET(#REF!,1,0,COUNTA(#REF!),5)</definedName>
    <definedName name="profit_coinvestor">'[2]Control Panel'!$D$41</definedName>
    <definedName name="profit_semi">'[2]Control Panel'!$D$40</definedName>
    <definedName name="PSDB">OFFSET('[3]Project Spending'!$A$4,0,0,COUNTA('[3]Project Spending'!$A$4:$A$100000), COUNTA('[3]Project Spending'!$A$4:$AAC$4))</definedName>
    <definedName name="QuarterBegin">#REF!</definedName>
    <definedName name="QuarterEnd">#REF!</definedName>
    <definedName name="R_D">'[2]Control Panel'!#REF!</definedName>
    <definedName name="rate_fed_ln">'[2]Control Panel'!$E$61</definedName>
    <definedName name="rate_sr_bd">'[2]Control Panel'!$E$51</definedName>
    <definedName name="rate_sr_ln">'[2]Control Panel'!$E$53</definedName>
    <definedName name="rate_sub_bd">'[2]Control Panel'!$E$52</definedName>
    <definedName name="rate_sub_ln">'[2]Control Panel'!$E$54</definedName>
    <definedName name="SGA">'[2]Control Panel'!#REF!</definedName>
    <definedName name="Size_W">'[2]Control Panel'!#REF!</definedName>
    <definedName name="State_grant">'[2]Control Panel'!$G$22</definedName>
    <definedName name="Step_1">#REF!</definedName>
    <definedName name="Step_2">#REF!</definedName>
    <definedName name="Step_3">#REF!</definedName>
    <definedName name="Step_4">#REF!</definedName>
    <definedName name="Step_5">#REF!</definedName>
    <definedName name="Step_6">#REF!</definedName>
    <definedName name="Step1">#REF!</definedName>
    <definedName name="Step2">#REF!</definedName>
    <definedName name="Step3">#REF!</definedName>
    <definedName name="Step4">#REF!</definedName>
    <definedName name="Step5">#REF!</definedName>
    <definedName name="Step6">#REF!</definedName>
    <definedName name="tax_credit">'[2]Control Panel'!#REF!</definedName>
    <definedName name="tax_credit_yrs">'[2]Control Panel'!#REF!</definedName>
    <definedName name="Tax_incentive">'[2]Control Panel'!$G$24</definedName>
    <definedName name="Tax_rate">'[2]Control Panel'!$C$68</definedName>
    <definedName name="Term_fed_ln">'[2]Control Panel'!$D$61</definedName>
    <definedName name="term_sr_bd">'[2]Control Panel'!$D$51</definedName>
    <definedName name="TheDB">#REF!</definedName>
    <definedName name="type_fed">'[2]Control Panel'!$F$61</definedName>
    <definedName name="type_sr_bd">'[2]Control Panel'!$F$51</definedName>
    <definedName name="Type_W">'[2]Control Panel'!$G$18</definedName>
    <definedName name="Utilities">'[2]Control Panel'!#REF!</definedName>
    <definedName name="Utilization">'[2]Control Panel'!#REF!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4" i="12" l="1"/>
  <c r="G154" i="12"/>
  <c r="H154" i="12"/>
  <c r="I154" i="12"/>
  <c r="J154" i="12"/>
  <c r="K154" i="12"/>
  <c r="L154" i="12"/>
  <c r="M154" i="12"/>
  <c r="N154" i="12"/>
  <c r="O154" i="12"/>
  <c r="P154" i="12"/>
  <c r="Q154" i="12"/>
  <c r="R154" i="12"/>
  <c r="S154" i="12"/>
  <c r="T154" i="12"/>
  <c r="U154" i="12"/>
  <c r="V154" i="12"/>
  <c r="W154" i="12"/>
  <c r="X154" i="12"/>
  <c r="E154" i="12"/>
  <c r="E57" i="14" l="1"/>
  <c r="C58" i="14"/>
  <c r="D66" i="14"/>
  <c r="C64" i="14"/>
  <c r="D93" i="14"/>
  <c r="D92" i="14"/>
  <c r="E56" i="14"/>
  <c r="C11" i="14"/>
  <c r="D11" i="14" s="1"/>
  <c r="C8" i="12"/>
  <c r="E18" i="26"/>
  <c r="E17" i="26"/>
  <c r="E16" i="26"/>
  <c r="E15" i="26"/>
  <c r="E14" i="26"/>
  <c r="E13" i="26"/>
  <c r="E12" i="26"/>
  <c r="D88" i="14" l="1"/>
  <c r="D86" i="14"/>
  <c r="D87" i="14"/>
  <c r="D85" i="14"/>
  <c r="D77" i="14"/>
  <c r="D76" i="14"/>
  <c r="D78" i="14"/>
  <c r="D79" i="14"/>
  <c r="D80" i="14"/>
  <c r="D81" i="14"/>
  <c r="D71" i="14"/>
  <c r="D72" i="14"/>
  <c r="D70" i="14"/>
  <c r="F46" i="14"/>
  <c r="E55" i="14"/>
  <c r="E52" i="14"/>
  <c r="E53" i="14"/>
  <c r="E51" i="14"/>
  <c r="F39" i="14"/>
  <c r="D25" i="14"/>
  <c r="D24" i="14"/>
  <c r="D29" i="14"/>
  <c r="F34" i="14"/>
  <c r="D30" i="14"/>
  <c r="F40" i="14"/>
  <c r="F41" i="14"/>
  <c r="F42" i="14"/>
  <c r="F43" i="14"/>
  <c r="F44" i="14"/>
  <c r="F45" i="14"/>
  <c r="B55" i="1"/>
  <c r="B56" i="1"/>
  <c r="B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E57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F64" i="14"/>
  <c r="E64" i="14"/>
  <c r="D64" i="14"/>
  <c r="F66" i="14"/>
  <c r="G57" i="1" s="1"/>
  <c r="E66" i="14"/>
  <c r="F65" i="14"/>
  <c r="G56" i="1" s="1"/>
  <c r="E65" i="14"/>
  <c r="F56" i="1" s="1"/>
  <c r="D65" i="14"/>
  <c r="E11" i="1"/>
  <c r="E10" i="1"/>
  <c r="E9" i="1"/>
  <c r="E8" i="1"/>
  <c r="E7" i="1"/>
  <c r="E6" i="1"/>
  <c r="E30" i="1"/>
  <c r="E29" i="1"/>
  <c r="E28" i="1"/>
  <c r="E27" i="1"/>
  <c r="E26" i="1"/>
  <c r="E25" i="1"/>
  <c r="E24" i="1"/>
  <c r="E23" i="1"/>
  <c r="E34" i="14"/>
  <c r="E18" i="1"/>
  <c r="E12" i="1"/>
  <c r="I17" i="14"/>
  <c r="J17" i="14" s="1"/>
  <c r="I18" i="14"/>
  <c r="J18" i="14" s="1"/>
  <c r="I19" i="14"/>
  <c r="J19" i="14" s="1"/>
  <c r="I20" i="14"/>
  <c r="J20" i="14" s="1"/>
  <c r="I21" i="14"/>
  <c r="J21" i="14" s="1"/>
  <c r="I16" i="14"/>
  <c r="J16" i="14" l="1"/>
  <c r="C12" i="14"/>
  <c r="D12" i="14" s="1"/>
  <c r="K5" i="14" s="1"/>
  <c r="E20" i="12"/>
  <c r="E19" i="12"/>
  <c r="I64" i="14"/>
  <c r="J64" i="14" s="1"/>
  <c r="I65" i="14"/>
  <c r="J65" i="14" s="1"/>
  <c r="I66" i="14"/>
  <c r="J66" i="14" s="1"/>
  <c r="E56" i="1"/>
  <c r="F57" i="1"/>
  <c r="E11" i="12" l="1"/>
  <c r="B81" i="14"/>
  <c r="B30" i="3" s="1"/>
  <c r="B80" i="14"/>
  <c r="B29" i="3" s="1"/>
  <c r="Z105" i="12"/>
  <c r="E105" i="12" s="1"/>
  <c r="B66" i="1"/>
  <c r="B61" i="1"/>
  <c r="B62" i="1"/>
  <c r="B63" i="1"/>
  <c r="B64" i="1"/>
  <c r="B65" i="1"/>
  <c r="B77" i="14"/>
  <c r="B26" i="3" s="1"/>
  <c r="B78" i="14"/>
  <c r="B27" i="3" s="1"/>
  <c r="B79" i="14"/>
  <c r="B28" i="3" s="1"/>
  <c r="B76" i="14"/>
  <c r="B25" i="3" s="1"/>
  <c r="B10" i="1"/>
  <c r="B10" i="3"/>
  <c r="B35" i="3"/>
  <c r="B34" i="3"/>
  <c r="B28" i="1"/>
  <c r="B19" i="3" s="1"/>
  <c r="B29" i="1"/>
  <c r="B20" i="3" s="1"/>
  <c r="B30" i="1"/>
  <c r="B21" i="3" s="1"/>
  <c r="B7" i="3"/>
  <c r="B12" i="1"/>
  <c r="B22" i="4" s="1"/>
  <c r="B6" i="1"/>
  <c r="B16" i="4" s="1"/>
  <c r="B7" i="1"/>
  <c r="B17" i="4" s="1"/>
  <c r="B8" i="1"/>
  <c r="B18" i="4" s="1"/>
  <c r="B9" i="1"/>
  <c r="B19" i="4" s="1"/>
  <c r="B11" i="1"/>
  <c r="B21" i="4" s="1"/>
  <c r="D58" i="14"/>
  <c r="E46" i="1" s="1"/>
  <c r="E36" i="1"/>
  <c r="D18" i="4"/>
  <c r="D22" i="4"/>
  <c r="D21" i="4"/>
  <c r="D16" i="4"/>
  <c r="E17" i="1"/>
  <c r="E19" i="1" s="1"/>
  <c r="Z158" i="12"/>
  <c r="E158" i="12" s="1"/>
  <c r="Z132" i="12"/>
  <c r="Z78" i="12"/>
  <c r="Z51" i="12"/>
  <c r="Z24" i="12"/>
  <c r="E24" i="12" s="1"/>
  <c r="Z52" i="12" l="1"/>
  <c r="E51" i="12"/>
  <c r="Z79" i="12"/>
  <c r="E78" i="12"/>
  <c r="Z133" i="12"/>
  <c r="E132" i="12"/>
  <c r="E100" i="12"/>
  <c r="D21" i="2"/>
  <c r="D20" i="4"/>
  <c r="B21" i="2"/>
  <c r="B20" i="4"/>
  <c r="E127" i="12"/>
  <c r="Z159" i="12"/>
  <c r="E159" i="12" s="1"/>
  <c r="Z106" i="12"/>
  <c r="E106" i="12" s="1"/>
  <c r="D17" i="4"/>
  <c r="D19" i="4"/>
  <c r="Z25" i="12"/>
  <c r="E25" i="12" s="1"/>
  <c r="Z134" i="12" l="1"/>
  <c r="E133" i="12"/>
  <c r="Z80" i="12"/>
  <c r="E79" i="12"/>
  <c r="Z53" i="12"/>
  <c r="E52" i="12"/>
  <c r="Z160" i="12"/>
  <c r="E160" i="12" s="1"/>
  <c r="D23" i="4"/>
  <c r="Z107" i="12"/>
  <c r="E107" i="12" s="1"/>
  <c r="Z26" i="12"/>
  <c r="E26" i="12" s="1"/>
  <c r="Z54" i="12" l="1"/>
  <c r="E53" i="12"/>
  <c r="Z81" i="12"/>
  <c r="E80" i="12"/>
  <c r="Z135" i="12"/>
  <c r="E134" i="12"/>
  <c r="Z161" i="12"/>
  <c r="E161" i="12" s="1"/>
  <c r="Z108" i="12"/>
  <c r="E108" i="12" s="1"/>
  <c r="Z27" i="12"/>
  <c r="E27" i="12" s="1"/>
  <c r="Z136" i="12" l="1"/>
  <c r="E135" i="12"/>
  <c r="Z82" i="12"/>
  <c r="E81" i="12"/>
  <c r="Z55" i="12"/>
  <c r="E54" i="12"/>
  <c r="Z162" i="12"/>
  <c r="E162" i="12" s="1"/>
  <c r="Z109" i="12"/>
  <c r="E109" i="12" s="1"/>
  <c r="Z28" i="12"/>
  <c r="E28" i="12" s="1"/>
  <c r="Z56" i="12" l="1"/>
  <c r="E55" i="12"/>
  <c r="Z83" i="12"/>
  <c r="E82" i="12"/>
  <c r="Z137" i="12"/>
  <c r="E136" i="12"/>
  <c r="Z163" i="12"/>
  <c r="E163" i="12" s="1"/>
  <c r="Z110" i="12"/>
  <c r="E110" i="12" s="1"/>
  <c r="Z29" i="12"/>
  <c r="E29" i="12" s="1"/>
  <c r="Z138" i="12" l="1"/>
  <c r="E137" i="12"/>
  <c r="Z84" i="12"/>
  <c r="E83" i="12"/>
  <c r="Z57" i="12"/>
  <c r="E56" i="12"/>
  <c r="Z164" i="12"/>
  <c r="E164" i="12" s="1"/>
  <c r="Z111" i="12"/>
  <c r="E111" i="12" s="1"/>
  <c r="Z30" i="12"/>
  <c r="E30" i="12" s="1"/>
  <c r="Z58" i="12" l="1"/>
  <c r="E57" i="12"/>
  <c r="Z85" i="12"/>
  <c r="E84" i="12"/>
  <c r="Z139" i="12"/>
  <c r="E138" i="12"/>
  <c r="Z165" i="12"/>
  <c r="E165" i="12" s="1"/>
  <c r="Z112" i="12"/>
  <c r="E112" i="12" s="1"/>
  <c r="Z31" i="12"/>
  <c r="E31" i="12" s="1"/>
  <c r="Z140" i="12" l="1"/>
  <c r="E139" i="12"/>
  <c r="Z86" i="12"/>
  <c r="E85" i="12"/>
  <c r="Z59" i="12"/>
  <c r="E58" i="12"/>
  <c r="Z166" i="12"/>
  <c r="E166" i="12" s="1"/>
  <c r="Z113" i="12"/>
  <c r="E113" i="12" s="1"/>
  <c r="Z32" i="12"/>
  <c r="E32" i="12" s="1"/>
  <c r="Z60" i="12" l="1"/>
  <c r="E59" i="12"/>
  <c r="Z87" i="12"/>
  <c r="E86" i="12"/>
  <c r="Z141" i="12"/>
  <c r="E140" i="12"/>
  <c r="Z167" i="12"/>
  <c r="E167" i="12" s="1"/>
  <c r="Z114" i="12"/>
  <c r="E114" i="12" s="1"/>
  <c r="Z33" i="12"/>
  <c r="E33" i="12" s="1"/>
  <c r="E73" i="12"/>
  <c r="B26" i="1"/>
  <c r="B17" i="3" s="1"/>
  <c r="B27" i="1"/>
  <c r="B18" i="3" s="1"/>
  <c r="B23" i="1"/>
  <c r="B14" i="3" s="1"/>
  <c r="B24" i="1"/>
  <c r="B15" i="3" s="1"/>
  <c r="B25" i="1"/>
  <c r="B16" i="3" s="1"/>
  <c r="D95" i="14"/>
  <c r="Z142" i="12" l="1"/>
  <c r="E141" i="12"/>
  <c r="Z88" i="12"/>
  <c r="E87" i="12"/>
  <c r="Z61" i="12"/>
  <c r="E60" i="12"/>
  <c r="E95" i="14"/>
  <c r="E128" i="12"/>
  <c r="E15" i="12" s="1"/>
  <c r="E101" i="12"/>
  <c r="E14" i="12" s="1"/>
  <c r="Z168" i="12"/>
  <c r="E168" i="12" s="1"/>
  <c r="Z115" i="12"/>
  <c r="E115" i="12" s="1"/>
  <c r="E7" i="3"/>
  <c r="E21" i="3"/>
  <c r="E20" i="3"/>
  <c r="E74" i="12"/>
  <c r="E13" i="12" s="1"/>
  <c r="Z34" i="12"/>
  <c r="E34" i="12" s="1"/>
  <c r="E13" i="1"/>
  <c r="Z62" i="12" l="1"/>
  <c r="E61" i="12"/>
  <c r="Z89" i="12"/>
  <c r="E88" i="12"/>
  <c r="Z143" i="12"/>
  <c r="E142" i="12"/>
  <c r="F95" i="14"/>
  <c r="Z169" i="12"/>
  <c r="E169" i="12" s="1"/>
  <c r="Z116" i="12"/>
  <c r="E116" i="12" s="1"/>
  <c r="E19" i="3"/>
  <c r="Z35" i="12"/>
  <c r="E35" i="12" s="1"/>
  <c r="Z144" i="12" l="1"/>
  <c r="E143" i="12"/>
  <c r="Z90" i="12"/>
  <c r="E89" i="12"/>
  <c r="Z63" i="12"/>
  <c r="E62" i="12"/>
  <c r="G95" i="14"/>
  <c r="Z170" i="12"/>
  <c r="E170" i="12" s="1"/>
  <c r="Z117" i="12"/>
  <c r="E117" i="12" s="1"/>
  <c r="Z36" i="12"/>
  <c r="E36" i="12" s="1"/>
  <c r="Z64" i="12" l="1"/>
  <c r="E63" i="12"/>
  <c r="Z91" i="12"/>
  <c r="E90" i="12"/>
  <c r="Z145" i="12"/>
  <c r="E144" i="12"/>
  <c r="H95" i="14"/>
  <c r="Z171" i="12"/>
  <c r="E171" i="12" s="1"/>
  <c r="Z118" i="12"/>
  <c r="E118" i="12" s="1"/>
  <c r="Z37" i="12"/>
  <c r="E37" i="12" s="1"/>
  <c r="Z146" i="12" l="1"/>
  <c r="E145" i="12"/>
  <c r="Z92" i="12"/>
  <c r="E91" i="12"/>
  <c r="Z65" i="12"/>
  <c r="E64" i="12"/>
  <c r="I95" i="14"/>
  <c r="Z172" i="12"/>
  <c r="E172" i="12" s="1"/>
  <c r="Z119" i="12"/>
  <c r="E119" i="12" s="1"/>
  <c r="Z38" i="12"/>
  <c r="E38" i="12" s="1"/>
  <c r="Z66" i="12" l="1"/>
  <c r="E65" i="12"/>
  <c r="Z93" i="12"/>
  <c r="E92" i="12"/>
  <c r="Z147" i="12"/>
  <c r="E146" i="12"/>
  <c r="J95" i="14"/>
  <c r="Z173" i="12"/>
  <c r="E173" i="12" s="1"/>
  <c r="Z120" i="12"/>
  <c r="E120" i="12" s="1"/>
  <c r="Z39" i="12"/>
  <c r="E39" i="12" s="1"/>
  <c r="Z148" i="12" l="1"/>
  <c r="E147" i="12"/>
  <c r="Z94" i="12"/>
  <c r="E93" i="12"/>
  <c r="Z67" i="12"/>
  <c r="E66" i="12"/>
  <c r="K95" i="14"/>
  <c r="Z174" i="12"/>
  <c r="E174" i="12" s="1"/>
  <c r="Z121" i="12"/>
  <c r="E121" i="12" s="1"/>
  <c r="Z40" i="12"/>
  <c r="E40" i="12" s="1"/>
  <c r="Z68" i="12" l="1"/>
  <c r="E67" i="12"/>
  <c r="Z95" i="12"/>
  <c r="E94" i="12"/>
  <c r="Z149" i="12"/>
  <c r="E148" i="12"/>
  <c r="L95" i="14"/>
  <c r="Z175" i="12"/>
  <c r="E175" i="12" s="1"/>
  <c r="Z122" i="12"/>
  <c r="E122" i="12" s="1"/>
  <c r="Z41" i="12"/>
  <c r="E41" i="12" s="1"/>
  <c r="Z150" i="12" l="1"/>
  <c r="E150" i="12" s="1"/>
  <c r="E149" i="12"/>
  <c r="Z96" i="12"/>
  <c r="E96" i="12" s="1"/>
  <c r="E95" i="12"/>
  <c r="Z69" i="12"/>
  <c r="E69" i="12" s="1"/>
  <c r="E68" i="12"/>
  <c r="M95" i="14"/>
  <c r="Z176" i="12"/>
  <c r="E176" i="12" s="1"/>
  <c r="Z123" i="12"/>
  <c r="E123" i="12" s="1"/>
  <c r="Z42" i="12"/>
  <c r="E42" i="12" s="1"/>
  <c r="N95" i="14" l="1"/>
  <c r="E47" i="12"/>
  <c r="E46" i="12"/>
  <c r="O95" i="14" l="1"/>
  <c r="E12" i="12"/>
  <c r="F4" i="12"/>
  <c r="F160" i="12" l="1"/>
  <c r="F163" i="12"/>
  <c r="F176" i="12"/>
  <c r="F84" i="12"/>
  <c r="F87" i="12"/>
  <c r="F92" i="12"/>
  <c r="F95" i="12"/>
  <c r="F67" i="12"/>
  <c r="F55" i="12"/>
  <c r="F25" i="12"/>
  <c r="F165" i="12"/>
  <c r="F174" i="12"/>
  <c r="F135" i="12"/>
  <c r="F143" i="12"/>
  <c r="F144" i="12"/>
  <c r="F112" i="12"/>
  <c r="F115" i="12"/>
  <c r="F120" i="12"/>
  <c r="F123" i="12"/>
  <c r="F82" i="12"/>
  <c r="F142" i="12"/>
  <c r="F145" i="12"/>
  <c r="F110" i="12"/>
  <c r="F59" i="12"/>
  <c r="F66" i="12"/>
  <c r="F26" i="12"/>
  <c r="F29" i="12"/>
  <c r="F161" i="12"/>
  <c r="F169" i="12"/>
  <c r="F170" i="12"/>
  <c r="F86" i="12"/>
  <c r="F93" i="12"/>
  <c r="F52" i="12"/>
  <c r="F31" i="12"/>
  <c r="F168" i="12"/>
  <c r="F171" i="12"/>
  <c r="F138" i="12"/>
  <c r="F141" i="12"/>
  <c r="F146" i="12"/>
  <c r="F149" i="12"/>
  <c r="F106" i="12"/>
  <c r="F114" i="12"/>
  <c r="F121" i="12"/>
  <c r="F79" i="12"/>
  <c r="F69" i="12"/>
  <c r="F136" i="12"/>
  <c r="F107" i="12"/>
  <c r="F53" i="12"/>
  <c r="F56" i="12"/>
  <c r="F27" i="12"/>
  <c r="F164" i="12"/>
  <c r="F167" i="12"/>
  <c r="F172" i="12"/>
  <c r="F175" i="12"/>
  <c r="F80" i="12"/>
  <c r="F83" i="12"/>
  <c r="F96" i="12"/>
  <c r="F58" i="12"/>
  <c r="F34" i="12"/>
  <c r="F162" i="12"/>
  <c r="F140" i="12"/>
  <c r="F147" i="12"/>
  <c r="F108" i="12"/>
  <c r="F111" i="12"/>
  <c r="F85" i="12"/>
  <c r="F94" i="12"/>
  <c r="F133" i="12"/>
  <c r="F113" i="12"/>
  <c r="F122" i="12"/>
  <c r="F54" i="12"/>
  <c r="F62" i="12"/>
  <c r="F63" i="12"/>
  <c r="F30" i="12"/>
  <c r="F33" i="12"/>
  <c r="F137" i="12"/>
  <c r="F117" i="12"/>
  <c r="F38" i="12"/>
  <c r="F41" i="12"/>
  <c r="F39" i="12"/>
  <c r="F32" i="12"/>
  <c r="F89" i="12"/>
  <c r="F57" i="12"/>
  <c r="F42" i="12"/>
  <c r="F116" i="12"/>
  <c r="F65" i="12"/>
  <c r="F37" i="12"/>
  <c r="F173" i="12"/>
  <c r="F90" i="12"/>
  <c r="F150" i="12"/>
  <c r="F118" i="12"/>
  <c r="F40" i="12"/>
  <c r="F139" i="12"/>
  <c r="F159" i="12"/>
  <c r="F35" i="12"/>
  <c r="F166" i="12"/>
  <c r="F64" i="12"/>
  <c r="F88" i="12"/>
  <c r="F68" i="12"/>
  <c r="F91" i="12"/>
  <c r="F148" i="12"/>
  <c r="F119" i="12"/>
  <c r="F60" i="12"/>
  <c r="F109" i="12"/>
  <c r="F36" i="12"/>
  <c r="F81" i="12"/>
  <c r="F61" i="12"/>
  <c r="F28" i="12"/>
  <c r="F134" i="12"/>
  <c r="P95" i="14"/>
  <c r="G4" i="12"/>
  <c r="E16" i="12"/>
  <c r="D24" i="4" s="1"/>
  <c r="D25" i="4" s="1"/>
  <c r="G139" i="12" l="1"/>
  <c r="G148" i="12"/>
  <c r="G116" i="12"/>
  <c r="G119" i="12"/>
  <c r="G57" i="12"/>
  <c r="G60" i="12"/>
  <c r="G65" i="12"/>
  <c r="G32" i="12"/>
  <c r="G160" i="12"/>
  <c r="G163" i="12"/>
  <c r="G176" i="12"/>
  <c r="G84" i="12"/>
  <c r="G87" i="12"/>
  <c r="G92" i="12"/>
  <c r="G95" i="12"/>
  <c r="G55" i="12"/>
  <c r="G165" i="12"/>
  <c r="G174" i="12"/>
  <c r="G135" i="12"/>
  <c r="G143" i="12"/>
  <c r="G144" i="12"/>
  <c r="G112" i="12"/>
  <c r="G115" i="12"/>
  <c r="G120" i="12"/>
  <c r="G123" i="12"/>
  <c r="G82" i="12"/>
  <c r="G142" i="12"/>
  <c r="G145" i="12"/>
  <c r="G110" i="12"/>
  <c r="G59" i="12"/>
  <c r="G66" i="12"/>
  <c r="G26" i="12"/>
  <c r="G29" i="12"/>
  <c r="G161" i="12"/>
  <c r="G169" i="12"/>
  <c r="G170" i="12"/>
  <c r="G86" i="12"/>
  <c r="G93" i="12"/>
  <c r="G31" i="12"/>
  <c r="G168" i="12"/>
  <c r="G171" i="12"/>
  <c r="G138" i="12"/>
  <c r="G141" i="12"/>
  <c r="G146" i="12"/>
  <c r="G149" i="12"/>
  <c r="G114" i="12"/>
  <c r="G121" i="12"/>
  <c r="G69" i="12"/>
  <c r="G136" i="12"/>
  <c r="G107" i="12"/>
  <c r="G53" i="12"/>
  <c r="G56" i="12"/>
  <c r="G67" i="12"/>
  <c r="G27" i="12"/>
  <c r="G164" i="12"/>
  <c r="G167" i="12"/>
  <c r="G172" i="12"/>
  <c r="G175" i="12"/>
  <c r="G80" i="12"/>
  <c r="G83" i="12"/>
  <c r="G96" i="12"/>
  <c r="G58" i="12"/>
  <c r="G162" i="12"/>
  <c r="G140" i="12"/>
  <c r="G147" i="12"/>
  <c r="G108" i="12"/>
  <c r="G111" i="12"/>
  <c r="G85" i="12"/>
  <c r="G94" i="12"/>
  <c r="G89" i="12"/>
  <c r="G34" i="12"/>
  <c r="G39" i="12"/>
  <c r="G109" i="12"/>
  <c r="G37" i="12"/>
  <c r="G137" i="12"/>
  <c r="G117" i="12"/>
  <c r="G38" i="12"/>
  <c r="G41" i="12"/>
  <c r="G113" i="12"/>
  <c r="G63" i="12"/>
  <c r="G28" i="12"/>
  <c r="G30" i="12"/>
  <c r="G173" i="12"/>
  <c r="G90" i="12"/>
  <c r="G68" i="12"/>
  <c r="G150" i="12"/>
  <c r="G118" i="12"/>
  <c r="G134" i="12"/>
  <c r="G35" i="12"/>
  <c r="G122" i="12"/>
  <c r="G33" i="12"/>
  <c r="G166" i="12"/>
  <c r="G64" i="12"/>
  <c r="G62" i="12"/>
  <c r="G91" i="12"/>
  <c r="G42" i="12"/>
  <c r="G81" i="12"/>
  <c r="G54" i="12"/>
  <c r="G40" i="12"/>
  <c r="G61" i="12"/>
  <c r="G88" i="12"/>
  <c r="G36" i="12"/>
  <c r="Q95" i="14"/>
  <c r="H4" i="12"/>
  <c r="D24" i="2"/>
  <c r="H137" i="12" l="1"/>
  <c r="H150" i="12"/>
  <c r="H109" i="12"/>
  <c r="H117" i="12"/>
  <c r="H118" i="12"/>
  <c r="H88" i="12"/>
  <c r="H91" i="12"/>
  <c r="H68" i="12"/>
  <c r="H139" i="12"/>
  <c r="H148" i="12"/>
  <c r="H116" i="12"/>
  <c r="H119" i="12"/>
  <c r="H57" i="12"/>
  <c r="H60" i="12"/>
  <c r="H65" i="12"/>
  <c r="H32" i="12"/>
  <c r="H163" i="12"/>
  <c r="H176" i="12"/>
  <c r="H84" i="12"/>
  <c r="H87" i="12"/>
  <c r="H92" i="12"/>
  <c r="H95" i="12"/>
  <c r="H55" i="12"/>
  <c r="H165" i="12"/>
  <c r="H174" i="12"/>
  <c r="H135" i="12"/>
  <c r="H143" i="12"/>
  <c r="H144" i="12"/>
  <c r="H112" i="12"/>
  <c r="H115" i="12"/>
  <c r="H120" i="12"/>
  <c r="H123" i="12"/>
  <c r="H82" i="12"/>
  <c r="H142" i="12"/>
  <c r="H145" i="12"/>
  <c r="H110" i="12"/>
  <c r="H59" i="12"/>
  <c r="H66" i="12"/>
  <c r="H29" i="12"/>
  <c r="H161" i="12"/>
  <c r="H169" i="12"/>
  <c r="H170" i="12"/>
  <c r="H86" i="12"/>
  <c r="H93" i="12"/>
  <c r="H31" i="12"/>
  <c r="H168" i="12"/>
  <c r="H171" i="12"/>
  <c r="H138" i="12"/>
  <c r="H141" i="12"/>
  <c r="H146" i="12"/>
  <c r="H149" i="12"/>
  <c r="H114" i="12"/>
  <c r="H121" i="12"/>
  <c r="H69" i="12"/>
  <c r="H136" i="12"/>
  <c r="H56" i="12"/>
  <c r="H67" i="12"/>
  <c r="H27" i="12"/>
  <c r="H164" i="12"/>
  <c r="H167" i="12"/>
  <c r="H172" i="12"/>
  <c r="H175" i="12"/>
  <c r="H83" i="12"/>
  <c r="H96" i="12"/>
  <c r="H58" i="12"/>
  <c r="H34" i="12"/>
  <c r="H62" i="12"/>
  <c r="H30" i="12"/>
  <c r="H37" i="12"/>
  <c r="H89" i="12"/>
  <c r="H42" i="12"/>
  <c r="H54" i="12"/>
  <c r="H147" i="12"/>
  <c r="H85" i="12"/>
  <c r="H38" i="12"/>
  <c r="H41" i="12"/>
  <c r="H39" i="12"/>
  <c r="H40" i="12"/>
  <c r="H113" i="12"/>
  <c r="H63" i="12"/>
  <c r="H162" i="12"/>
  <c r="H173" i="12"/>
  <c r="H90" i="12"/>
  <c r="H81" i="12"/>
  <c r="H140" i="12"/>
  <c r="H94" i="12"/>
  <c r="H28" i="12"/>
  <c r="H122" i="12"/>
  <c r="H33" i="12"/>
  <c r="H111" i="12"/>
  <c r="H166" i="12"/>
  <c r="H64" i="12"/>
  <c r="H61" i="12"/>
  <c r="H36" i="12"/>
  <c r="H108" i="12"/>
  <c r="H35" i="12"/>
  <c r="R95" i="14"/>
  <c r="I4" i="12"/>
  <c r="I166" i="12" l="1"/>
  <c r="I173" i="12"/>
  <c r="I89" i="12"/>
  <c r="I90" i="12"/>
  <c r="I61" i="12"/>
  <c r="I64" i="12"/>
  <c r="I28" i="12"/>
  <c r="I137" i="12"/>
  <c r="I150" i="12"/>
  <c r="I109" i="12"/>
  <c r="I117" i="12"/>
  <c r="I118" i="12"/>
  <c r="I88" i="12"/>
  <c r="I91" i="12"/>
  <c r="I68" i="12"/>
  <c r="I139" i="12"/>
  <c r="I148" i="12"/>
  <c r="I116" i="12"/>
  <c r="I119" i="12"/>
  <c r="I57" i="12"/>
  <c r="I60" i="12"/>
  <c r="I65" i="12"/>
  <c r="I32" i="12"/>
  <c r="I163" i="12"/>
  <c r="I176" i="12"/>
  <c r="I84" i="12"/>
  <c r="I87" i="12"/>
  <c r="I92" i="12"/>
  <c r="I95" i="12"/>
  <c r="I55" i="12"/>
  <c r="I165" i="12"/>
  <c r="I174" i="12"/>
  <c r="I143" i="12"/>
  <c r="I144" i="12"/>
  <c r="I112" i="12"/>
  <c r="I115" i="12"/>
  <c r="I120" i="12"/>
  <c r="I123" i="12"/>
  <c r="I82" i="12"/>
  <c r="I142" i="12"/>
  <c r="I145" i="12"/>
  <c r="I110" i="12"/>
  <c r="I59" i="12"/>
  <c r="I66" i="12"/>
  <c r="I29" i="12"/>
  <c r="I169" i="12"/>
  <c r="I170" i="12"/>
  <c r="I86" i="12"/>
  <c r="I93" i="12"/>
  <c r="I31" i="12"/>
  <c r="I168" i="12"/>
  <c r="I171" i="12"/>
  <c r="I138" i="12"/>
  <c r="I141" i="12"/>
  <c r="I146" i="12"/>
  <c r="I149" i="12"/>
  <c r="I114" i="12"/>
  <c r="I121" i="12"/>
  <c r="I69" i="12"/>
  <c r="I136" i="12"/>
  <c r="I56" i="12"/>
  <c r="I67" i="12"/>
  <c r="I162" i="12"/>
  <c r="I111" i="12"/>
  <c r="I35" i="12"/>
  <c r="I36" i="12"/>
  <c r="I175" i="12"/>
  <c r="I62" i="12"/>
  <c r="I30" i="12"/>
  <c r="I34" i="12"/>
  <c r="I37" i="12"/>
  <c r="I164" i="12"/>
  <c r="I96" i="12"/>
  <c r="I58" i="12"/>
  <c r="I41" i="12"/>
  <c r="I147" i="12"/>
  <c r="I85" i="12"/>
  <c r="I38" i="12"/>
  <c r="I40" i="12"/>
  <c r="I113" i="12"/>
  <c r="I63" i="12"/>
  <c r="I83" i="12"/>
  <c r="I140" i="12"/>
  <c r="I94" i="12"/>
  <c r="I39" i="12"/>
  <c r="I122" i="12"/>
  <c r="I33" i="12"/>
  <c r="I167" i="12"/>
  <c r="I42" i="12"/>
  <c r="I172" i="12"/>
  <c r="S95" i="14"/>
  <c r="J4" i="12"/>
  <c r="J113" i="12" l="1"/>
  <c r="J122" i="12"/>
  <c r="J62" i="12"/>
  <c r="J63" i="12"/>
  <c r="J30" i="12"/>
  <c r="J166" i="12"/>
  <c r="J173" i="12"/>
  <c r="J89" i="12"/>
  <c r="J90" i="12"/>
  <c r="J61" i="12"/>
  <c r="J64" i="12"/>
  <c r="J137" i="12"/>
  <c r="J150" i="12"/>
  <c r="J117" i="12"/>
  <c r="J118" i="12"/>
  <c r="J88" i="12"/>
  <c r="J91" i="12"/>
  <c r="J68" i="12"/>
  <c r="J139" i="12"/>
  <c r="J148" i="12"/>
  <c r="J116" i="12"/>
  <c r="J119" i="12"/>
  <c r="J57" i="12"/>
  <c r="J60" i="12"/>
  <c r="J65" i="12"/>
  <c r="J32" i="12"/>
  <c r="J163" i="12"/>
  <c r="J176" i="12"/>
  <c r="J84" i="12"/>
  <c r="J87" i="12"/>
  <c r="J92" i="12"/>
  <c r="J95" i="12"/>
  <c r="J165" i="12"/>
  <c r="J174" i="12"/>
  <c r="J143" i="12"/>
  <c r="J144" i="12"/>
  <c r="J112" i="12"/>
  <c r="J115" i="12"/>
  <c r="J120" i="12"/>
  <c r="J123" i="12"/>
  <c r="J142" i="12"/>
  <c r="J145" i="12"/>
  <c r="J110" i="12"/>
  <c r="J59" i="12"/>
  <c r="J66" i="12"/>
  <c r="J29" i="12"/>
  <c r="J169" i="12"/>
  <c r="J170" i="12"/>
  <c r="J86" i="12"/>
  <c r="J93" i="12"/>
  <c r="J31" i="12"/>
  <c r="J168" i="12"/>
  <c r="J171" i="12"/>
  <c r="J138" i="12"/>
  <c r="J141" i="12"/>
  <c r="J146" i="12"/>
  <c r="J149" i="12"/>
  <c r="J114" i="12"/>
  <c r="J121" i="12"/>
  <c r="J69" i="12"/>
  <c r="J172" i="12"/>
  <c r="J175" i="12"/>
  <c r="J83" i="12"/>
  <c r="J41" i="12"/>
  <c r="J39" i="12"/>
  <c r="J167" i="12"/>
  <c r="J111" i="12"/>
  <c r="J35" i="12"/>
  <c r="J36" i="12"/>
  <c r="J56" i="12"/>
  <c r="J34" i="12"/>
  <c r="J37" i="12"/>
  <c r="J38" i="12"/>
  <c r="J164" i="12"/>
  <c r="J96" i="12"/>
  <c r="J58" i="12"/>
  <c r="J147" i="12"/>
  <c r="J85" i="12"/>
  <c r="J67" i="12"/>
  <c r="J140" i="12"/>
  <c r="J94" i="12"/>
  <c r="J33" i="12"/>
  <c r="J42" i="12"/>
  <c r="J40" i="12"/>
  <c r="T95" i="14"/>
  <c r="K4" i="12"/>
  <c r="K140" i="12" l="1"/>
  <c r="K147" i="12"/>
  <c r="K111" i="12"/>
  <c r="K85" i="12"/>
  <c r="K94" i="12"/>
  <c r="K113" i="12"/>
  <c r="K122" i="12"/>
  <c r="K62" i="12"/>
  <c r="K63" i="12"/>
  <c r="K30" i="12"/>
  <c r="K166" i="12"/>
  <c r="K173" i="12"/>
  <c r="K89" i="12"/>
  <c r="K90" i="12"/>
  <c r="K61" i="12"/>
  <c r="K64" i="12"/>
  <c r="K150" i="12"/>
  <c r="K117" i="12"/>
  <c r="K118" i="12"/>
  <c r="K88" i="12"/>
  <c r="K91" i="12"/>
  <c r="K68" i="12"/>
  <c r="K139" i="12"/>
  <c r="K148" i="12"/>
  <c r="K116" i="12"/>
  <c r="K119" i="12"/>
  <c r="K57" i="12"/>
  <c r="K60" i="12"/>
  <c r="K65" i="12"/>
  <c r="K32" i="12"/>
  <c r="K176" i="12"/>
  <c r="K84" i="12"/>
  <c r="K87" i="12"/>
  <c r="K92" i="12"/>
  <c r="K95" i="12"/>
  <c r="K165" i="12"/>
  <c r="K174" i="12"/>
  <c r="K143" i="12"/>
  <c r="K144" i="12"/>
  <c r="K112" i="12"/>
  <c r="K115" i="12"/>
  <c r="K120" i="12"/>
  <c r="K123" i="12"/>
  <c r="K142" i="12"/>
  <c r="K145" i="12"/>
  <c r="K59" i="12"/>
  <c r="K66" i="12"/>
  <c r="K169" i="12"/>
  <c r="K170" i="12"/>
  <c r="K86" i="12"/>
  <c r="K93" i="12"/>
  <c r="K31" i="12"/>
  <c r="K40" i="12"/>
  <c r="K172" i="12"/>
  <c r="K175" i="12"/>
  <c r="K38" i="12"/>
  <c r="K168" i="12"/>
  <c r="K138" i="12"/>
  <c r="K121" i="12"/>
  <c r="K69" i="12"/>
  <c r="K35" i="12"/>
  <c r="K36" i="12"/>
  <c r="K58" i="12"/>
  <c r="K41" i="12"/>
  <c r="K167" i="12"/>
  <c r="K42" i="12"/>
  <c r="K34" i="12"/>
  <c r="K37" i="12"/>
  <c r="K33" i="12"/>
  <c r="K164" i="12"/>
  <c r="K96" i="12"/>
  <c r="K149" i="12"/>
  <c r="K114" i="12"/>
  <c r="K146" i="12"/>
  <c r="K67" i="12"/>
  <c r="K171" i="12"/>
  <c r="K141" i="12"/>
  <c r="K39" i="12"/>
  <c r="U95" i="14"/>
  <c r="L4" i="12"/>
  <c r="L167" i="12" l="1"/>
  <c r="L172" i="12"/>
  <c r="L175" i="12"/>
  <c r="L96" i="12"/>
  <c r="L58" i="12"/>
  <c r="L140" i="12"/>
  <c r="L147" i="12"/>
  <c r="L85" i="12"/>
  <c r="L94" i="12"/>
  <c r="L113" i="12"/>
  <c r="L122" i="12"/>
  <c r="L62" i="12"/>
  <c r="L63" i="12"/>
  <c r="L33" i="12"/>
  <c r="L166" i="12"/>
  <c r="L173" i="12"/>
  <c r="L89" i="12"/>
  <c r="L90" i="12"/>
  <c r="L61" i="12"/>
  <c r="L64" i="12"/>
  <c r="L150" i="12"/>
  <c r="L117" i="12"/>
  <c r="L118" i="12"/>
  <c r="L88" i="12"/>
  <c r="L91" i="12"/>
  <c r="L68" i="12"/>
  <c r="L139" i="12"/>
  <c r="L148" i="12"/>
  <c r="L116" i="12"/>
  <c r="L119" i="12"/>
  <c r="L60" i="12"/>
  <c r="L65" i="12"/>
  <c r="L32" i="12"/>
  <c r="L176" i="12"/>
  <c r="L87" i="12"/>
  <c r="L92" i="12"/>
  <c r="L95" i="12"/>
  <c r="L165" i="12"/>
  <c r="L174" i="12"/>
  <c r="L143" i="12"/>
  <c r="L144" i="12"/>
  <c r="L112" i="12"/>
  <c r="L115" i="12"/>
  <c r="L120" i="12"/>
  <c r="L123" i="12"/>
  <c r="L142" i="12"/>
  <c r="L145" i="12"/>
  <c r="L59" i="12"/>
  <c r="L66" i="12"/>
  <c r="L168" i="12"/>
  <c r="L146" i="12"/>
  <c r="L149" i="12"/>
  <c r="L42" i="12"/>
  <c r="L37" i="12"/>
  <c r="L40" i="12"/>
  <c r="L169" i="12"/>
  <c r="L93" i="12"/>
  <c r="L31" i="12"/>
  <c r="L121" i="12"/>
  <c r="L69" i="12"/>
  <c r="L35" i="12"/>
  <c r="L36" i="12"/>
  <c r="L41" i="12"/>
  <c r="L34" i="12"/>
  <c r="L170" i="12"/>
  <c r="L86" i="12"/>
  <c r="L171" i="12"/>
  <c r="L39" i="12"/>
  <c r="L114" i="12"/>
  <c r="L38" i="12"/>
  <c r="L67" i="12"/>
  <c r="L141" i="12"/>
  <c r="V95" i="14"/>
  <c r="M4" i="12"/>
  <c r="M67" i="12" l="1"/>
  <c r="M167" i="12"/>
  <c r="M172" i="12"/>
  <c r="M175" i="12"/>
  <c r="M96" i="12"/>
  <c r="M140" i="12"/>
  <c r="M147" i="12"/>
  <c r="M94" i="12"/>
  <c r="M113" i="12"/>
  <c r="M122" i="12"/>
  <c r="M62" i="12"/>
  <c r="M63" i="12"/>
  <c r="M166" i="12"/>
  <c r="M173" i="12"/>
  <c r="M89" i="12"/>
  <c r="M90" i="12"/>
  <c r="M61" i="12"/>
  <c r="M64" i="12"/>
  <c r="M150" i="12"/>
  <c r="M117" i="12"/>
  <c r="M118" i="12"/>
  <c r="M88" i="12"/>
  <c r="M91" i="12"/>
  <c r="M68" i="12"/>
  <c r="M148" i="12"/>
  <c r="M116" i="12"/>
  <c r="M119" i="12"/>
  <c r="M60" i="12"/>
  <c r="M65" i="12"/>
  <c r="M32" i="12"/>
  <c r="M176" i="12"/>
  <c r="M87" i="12"/>
  <c r="M92" i="12"/>
  <c r="M95" i="12"/>
  <c r="M174" i="12"/>
  <c r="M143" i="12"/>
  <c r="M144" i="12"/>
  <c r="M115" i="12"/>
  <c r="M120" i="12"/>
  <c r="M123" i="12"/>
  <c r="M36" i="12"/>
  <c r="M168" i="12"/>
  <c r="M146" i="12"/>
  <c r="M149" i="12"/>
  <c r="M42" i="12"/>
  <c r="M41" i="12"/>
  <c r="M141" i="12"/>
  <c r="M66" i="12"/>
  <c r="M40" i="12"/>
  <c r="M39" i="12"/>
  <c r="M142" i="12"/>
  <c r="M169" i="12"/>
  <c r="M93" i="12"/>
  <c r="M69" i="12"/>
  <c r="M35" i="12"/>
  <c r="M33" i="12"/>
  <c r="M121" i="12"/>
  <c r="M59" i="12"/>
  <c r="M34" i="12"/>
  <c r="M37" i="12"/>
  <c r="M170" i="12"/>
  <c r="M86" i="12"/>
  <c r="M114" i="12"/>
  <c r="M38" i="12"/>
  <c r="M171" i="12"/>
  <c r="M145" i="12"/>
  <c r="N4" i="12"/>
  <c r="W35" i="2"/>
  <c r="E9" i="3"/>
  <c r="E10" i="3"/>
  <c r="B9" i="3"/>
  <c r="N168" i="12" l="1"/>
  <c r="N171" i="12"/>
  <c r="N141" i="12"/>
  <c r="N146" i="12"/>
  <c r="N149" i="12"/>
  <c r="N114" i="12"/>
  <c r="N121" i="12"/>
  <c r="N69" i="12"/>
  <c r="N67" i="12"/>
  <c r="N167" i="12"/>
  <c r="N172" i="12"/>
  <c r="N175" i="12"/>
  <c r="N96" i="12"/>
  <c r="N147" i="12"/>
  <c r="N94" i="12"/>
  <c r="N122" i="12"/>
  <c r="N62" i="12"/>
  <c r="N63" i="12"/>
  <c r="N173" i="12"/>
  <c r="N89" i="12"/>
  <c r="N90" i="12"/>
  <c r="N61" i="12"/>
  <c r="N64" i="12"/>
  <c r="N150" i="12"/>
  <c r="N117" i="12"/>
  <c r="N118" i="12"/>
  <c r="N88" i="12"/>
  <c r="N91" i="12"/>
  <c r="N68" i="12"/>
  <c r="N148" i="12"/>
  <c r="N116" i="12"/>
  <c r="N119" i="12"/>
  <c r="N60" i="12"/>
  <c r="N65" i="12"/>
  <c r="N176" i="12"/>
  <c r="N87" i="12"/>
  <c r="N92" i="12"/>
  <c r="N95" i="12"/>
  <c r="N142" i="12"/>
  <c r="N145" i="12"/>
  <c r="N39" i="12"/>
  <c r="N143" i="12"/>
  <c r="N42" i="12"/>
  <c r="N40" i="12"/>
  <c r="N120" i="12"/>
  <c r="N66" i="12"/>
  <c r="N169" i="12"/>
  <c r="N93" i="12"/>
  <c r="N144" i="12"/>
  <c r="N35" i="12"/>
  <c r="N36" i="12"/>
  <c r="N123" i="12"/>
  <c r="N33" i="12"/>
  <c r="N34" i="12"/>
  <c r="N37" i="12"/>
  <c r="N170" i="12"/>
  <c r="N174" i="12"/>
  <c r="N115" i="12"/>
  <c r="N38" i="12"/>
  <c r="N41" i="12"/>
  <c r="E8" i="3"/>
  <c r="E11" i="3" s="1"/>
  <c r="O4" i="12"/>
  <c r="O169" i="12" l="1"/>
  <c r="O170" i="12"/>
  <c r="O93" i="12"/>
  <c r="O168" i="12"/>
  <c r="O171" i="12"/>
  <c r="O146" i="12"/>
  <c r="O149" i="12"/>
  <c r="O121" i="12"/>
  <c r="O69" i="12"/>
  <c r="O67" i="12"/>
  <c r="O172" i="12"/>
  <c r="O175" i="12"/>
  <c r="O96" i="12"/>
  <c r="O147" i="12"/>
  <c r="O94" i="12"/>
  <c r="O122" i="12"/>
  <c r="O62" i="12"/>
  <c r="O63" i="12"/>
  <c r="O173" i="12"/>
  <c r="O89" i="12"/>
  <c r="O90" i="12"/>
  <c r="O61" i="12"/>
  <c r="O64" i="12"/>
  <c r="O150" i="12"/>
  <c r="O117" i="12"/>
  <c r="O118" i="12"/>
  <c r="O88" i="12"/>
  <c r="O91" i="12"/>
  <c r="O68" i="12"/>
  <c r="O148" i="12"/>
  <c r="O116" i="12"/>
  <c r="O119" i="12"/>
  <c r="O65" i="12"/>
  <c r="O120" i="12"/>
  <c r="O123" i="12"/>
  <c r="O39" i="12"/>
  <c r="O42" i="12"/>
  <c r="O66" i="12"/>
  <c r="O38" i="12"/>
  <c r="O145" i="12"/>
  <c r="O142" i="12"/>
  <c r="O143" i="12"/>
  <c r="O174" i="12"/>
  <c r="O40" i="12"/>
  <c r="O41" i="12"/>
  <c r="O176" i="12"/>
  <c r="O37" i="12"/>
  <c r="O144" i="12"/>
  <c r="O35" i="12"/>
  <c r="O36" i="12"/>
  <c r="O34" i="12"/>
  <c r="O115" i="12"/>
  <c r="O92" i="12"/>
  <c r="O95" i="12"/>
  <c r="P4" i="12"/>
  <c r="P145" i="12" l="1"/>
  <c r="P66" i="12"/>
  <c r="P169" i="12"/>
  <c r="P170" i="12"/>
  <c r="P93" i="12"/>
  <c r="P171" i="12"/>
  <c r="P146" i="12"/>
  <c r="P149" i="12"/>
  <c r="P121" i="12"/>
  <c r="P69" i="12"/>
  <c r="P67" i="12"/>
  <c r="P172" i="12"/>
  <c r="P175" i="12"/>
  <c r="P96" i="12"/>
  <c r="P147" i="12"/>
  <c r="P94" i="12"/>
  <c r="P122" i="12"/>
  <c r="P62" i="12"/>
  <c r="P63" i="12"/>
  <c r="P173" i="12"/>
  <c r="P89" i="12"/>
  <c r="P90" i="12"/>
  <c r="P64" i="12"/>
  <c r="P150" i="12"/>
  <c r="P117" i="12"/>
  <c r="P118" i="12"/>
  <c r="P91" i="12"/>
  <c r="P68" i="12"/>
  <c r="P92" i="12"/>
  <c r="P95" i="12"/>
  <c r="P42" i="12"/>
  <c r="P40" i="12"/>
  <c r="P120" i="12"/>
  <c r="P123" i="12"/>
  <c r="P39" i="12"/>
  <c r="P65" i="12"/>
  <c r="P143" i="12"/>
  <c r="P174" i="12"/>
  <c r="P176" i="12"/>
  <c r="P144" i="12"/>
  <c r="P35" i="12"/>
  <c r="P36" i="12"/>
  <c r="P38" i="12"/>
  <c r="P41" i="12"/>
  <c r="P148" i="12"/>
  <c r="P119" i="12"/>
  <c r="P37" i="12"/>
  <c r="P116" i="12"/>
  <c r="Q4" i="12"/>
  <c r="Q174" i="12" l="1"/>
  <c r="Q144" i="12"/>
  <c r="Q120" i="12"/>
  <c r="Q123" i="12"/>
  <c r="Q145" i="12"/>
  <c r="Q66" i="12"/>
  <c r="Q170" i="12"/>
  <c r="Q93" i="12"/>
  <c r="Q171" i="12"/>
  <c r="Q146" i="12"/>
  <c r="Q149" i="12"/>
  <c r="Q121" i="12"/>
  <c r="Q69" i="12"/>
  <c r="Q67" i="12"/>
  <c r="Q172" i="12"/>
  <c r="Q175" i="12"/>
  <c r="Q96" i="12"/>
  <c r="Q147" i="12"/>
  <c r="Q94" i="12"/>
  <c r="Q122" i="12"/>
  <c r="Q63" i="12"/>
  <c r="Q173" i="12"/>
  <c r="Q90" i="12"/>
  <c r="Q64" i="12"/>
  <c r="Q65" i="12"/>
  <c r="Q92" i="12"/>
  <c r="Q95" i="12"/>
  <c r="Q117" i="12"/>
  <c r="Q39" i="12"/>
  <c r="Q40" i="12"/>
  <c r="Q148" i="12"/>
  <c r="Q42" i="12"/>
  <c r="Q68" i="12"/>
  <c r="Q38" i="12"/>
  <c r="Q150" i="12"/>
  <c r="Q118" i="12"/>
  <c r="Q41" i="12"/>
  <c r="Q176" i="12"/>
  <c r="Q119" i="12"/>
  <c r="Q91" i="12"/>
  <c r="Q36" i="12"/>
  <c r="Q37" i="12"/>
  <c r="R4" i="12"/>
  <c r="R176" i="12" l="1"/>
  <c r="R92" i="12"/>
  <c r="R95" i="12"/>
  <c r="R174" i="12"/>
  <c r="R120" i="12"/>
  <c r="R123" i="12"/>
  <c r="R145" i="12"/>
  <c r="R66" i="12"/>
  <c r="R93" i="12"/>
  <c r="R171" i="12"/>
  <c r="R146" i="12"/>
  <c r="R149" i="12"/>
  <c r="R121" i="12"/>
  <c r="R69" i="12"/>
  <c r="R67" i="12"/>
  <c r="R172" i="12"/>
  <c r="R175" i="12"/>
  <c r="R96" i="12"/>
  <c r="R147" i="12"/>
  <c r="R94" i="12"/>
  <c r="R122" i="12"/>
  <c r="R68" i="12"/>
  <c r="R38" i="12"/>
  <c r="R41" i="12"/>
  <c r="R37" i="12"/>
  <c r="R65" i="12"/>
  <c r="R91" i="12"/>
  <c r="R39" i="12"/>
  <c r="R148" i="12"/>
  <c r="R119" i="12"/>
  <c r="R42" i="12"/>
  <c r="R40" i="12"/>
  <c r="R173" i="12"/>
  <c r="R150" i="12"/>
  <c r="R118" i="12"/>
  <c r="R64" i="12"/>
  <c r="S4" i="12"/>
  <c r="S148" i="12" l="1"/>
  <c r="S119" i="12"/>
  <c r="S65" i="12"/>
  <c r="S176" i="12"/>
  <c r="S92" i="12"/>
  <c r="S95" i="12"/>
  <c r="S174" i="12"/>
  <c r="S120" i="12"/>
  <c r="S123" i="12"/>
  <c r="S66" i="12"/>
  <c r="S93" i="12"/>
  <c r="S146" i="12"/>
  <c r="S149" i="12"/>
  <c r="S121" i="12"/>
  <c r="S69" i="12"/>
  <c r="S67" i="12"/>
  <c r="S172" i="12"/>
  <c r="S175" i="12"/>
  <c r="S96" i="12"/>
  <c r="S147" i="12"/>
  <c r="S94" i="12"/>
  <c r="S68" i="12"/>
  <c r="S38" i="12"/>
  <c r="S41" i="12"/>
  <c r="S42" i="12"/>
  <c r="S39" i="12"/>
  <c r="S173" i="12"/>
  <c r="S150" i="12"/>
  <c r="S122" i="12"/>
  <c r="S40" i="12"/>
  <c r="T4" i="12"/>
  <c r="T150" i="12" l="1"/>
  <c r="T68" i="12"/>
  <c r="T148" i="12"/>
  <c r="T176" i="12"/>
  <c r="T95" i="12"/>
  <c r="T174" i="12"/>
  <c r="T120" i="12"/>
  <c r="T123" i="12"/>
  <c r="T66" i="12"/>
  <c r="T93" i="12"/>
  <c r="T149" i="12"/>
  <c r="T121" i="12"/>
  <c r="T69" i="12"/>
  <c r="T67" i="12"/>
  <c r="T175" i="12"/>
  <c r="T96" i="12"/>
  <c r="T41" i="12"/>
  <c r="T42" i="12"/>
  <c r="T39" i="12"/>
  <c r="T147" i="12"/>
  <c r="T173" i="12"/>
  <c r="T122" i="12"/>
  <c r="T40" i="12"/>
  <c r="T94" i="12"/>
  <c r="U4" i="12"/>
  <c r="E47" i="1"/>
  <c r="E37" i="1"/>
  <c r="E38" i="1" s="1"/>
  <c r="D29" i="4" s="1"/>
  <c r="U150" i="12" l="1"/>
  <c r="U68" i="12"/>
  <c r="U148" i="12"/>
  <c r="U176" i="12"/>
  <c r="U95" i="12"/>
  <c r="U174" i="12"/>
  <c r="U123" i="12"/>
  <c r="U149" i="12"/>
  <c r="U121" i="12"/>
  <c r="U69" i="12"/>
  <c r="U67" i="12"/>
  <c r="U175" i="12"/>
  <c r="U42" i="12"/>
  <c r="U41" i="12"/>
  <c r="U94" i="12"/>
  <c r="U96" i="12"/>
  <c r="U122" i="12"/>
  <c r="U40" i="12"/>
  <c r="E48" i="1"/>
  <c r="F45" i="1" s="1"/>
  <c r="V4" i="12"/>
  <c r="V122" i="12" l="1"/>
  <c r="V150" i="12"/>
  <c r="V68" i="12"/>
  <c r="V176" i="12"/>
  <c r="V95" i="12"/>
  <c r="V123" i="12"/>
  <c r="V149" i="12"/>
  <c r="V69" i="12"/>
  <c r="V41" i="12"/>
  <c r="V175" i="12"/>
  <c r="V42" i="12"/>
  <c r="V96" i="12"/>
  <c r="E50" i="1"/>
  <c r="E51" i="1" s="1"/>
  <c r="D30" i="4"/>
  <c r="W4" i="12"/>
  <c r="W150" i="12" l="1"/>
  <c r="W176" i="12"/>
  <c r="W123" i="12"/>
  <c r="W42" i="12"/>
  <c r="W69" i="12"/>
  <c r="W96" i="12"/>
  <c r="E35" i="3"/>
  <c r="D44" i="4"/>
  <c r="X4" i="12"/>
  <c r="E18" i="3"/>
  <c r="E17" i="3"/>
  <c r="E16" i="3"/>
  <c r="E15" i="3"/>
  <c r="E14" i="3" l="1"/>
  <c r="D13" i="2" s="1"/>
  <c r="D11" i="4" s="1"/>
  <c r="E31" i="1"/>
  <c r="E22" i="3" l="1"/>
  <c r="D34" i="2" l="1"/>
  <c r="D12" i="4" s="1"/>
  <c r="B17" i="2" l="1"/>
  <c r="D17" i="2"/>
  <c r="B18" i="2"/>
  <c r="D18" i="2"/>
  <c r="B19" i="2"/>
  <c r="D19" i="2"/>
  <c r="B23" i="2"/>
  <c r="D23" i="2"/>
  <c r="B20" i="2"/>
  <c r="D20" i="2"/>
  <c r="B22" i="2"/>
  <c r="D22" i="2"/>
  <c r="D4" i="2" l="1"/>
  <c r="E4" i="2" s="1"/>
  <c r="F4" i="2" s="1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E4" i="3"/>
  <c r="F4" i="3" s="1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D4" i="4"/>
  <c r="F2" i="1"/>
  <c r="F10" i="1" l="1"/>
  <c r="F8" i="1"/>
  <c r="E18" i="4" s="1"/>
  <c r="F6" i="1"/>
  <c r="F12" i="1"/>
  <c r="E22" i="4" s="1"/>
  <c r="F18" i="1"/>
  <c r="F11" i="1"/>
  <c r="F9" i="1"/>
  <c r="E19" i="4" s="1"/>
  <c r="F7" i="1"/>
  <c r="E17" i="4" s="1"/>
  <c r="F30" i="1"/>
  <c r="F25" i="1"/>
  <c r="F27" i="1"/>
  <c r="F26" i="1"/>
  <c r="F28" i="1"/>
  <c r="F29" i="1"/>
  <c r="F23" i="1"/>
  <c r="F24" i="1"/>
  <c r="F36" i="1"/>
  <c r="F46" i="1"/>
  <c r="F17" i="1"/>
  <c r="F37" i="1"/>
  <c r="F47" i="1"/>
  <c r="E4" i="4"/>
  <c r="F4" i="4" s="1"/>
  <c r="G4" i="4" s="1"/>
  <c r="H4" i="4" s="1"/>
  <c r="I4" i="4" s="1"/>
  <c r="J4" i="4" s="1"/>
  <c r="G2" i="1"/>
  <c r="F19" i="1" l="1"/>
  <c r="G10" i="1"/>
  <c r="F20" i="4" s="1"/>
  <c r="G8" i="1"/>
  <c r="F18" i="4" s="1"/>
  <c r="G6" i="1"/>
  <c r="G18" i="1"/>
  <c r="G12" i="1"/>
  <c r="F22" i="4" s="1"/>
  <c r="G11" i="1"/>
  <c r="G9" i="1"/>
  <c r="F19" i="4" s="1"/>
  <c r="G7" i="1"/>
  <c r="F17" i="4" s="1"/>
  <c r="G23" i="1"/>
  <c r="G24" i="1"/>
  <c r="G26" i="1"/>
  <c r="G28" i="1"/>
  <c r="G30" i="1"/>
  <c r="G27" i="1"/>
  <c r="G29" i="1"/>
  <c r="G25" i="1"/>
  <c r="E20" i="4"/>
  <c r="E21" i="2"/>
  <c r="E21" i="4"/>
  <c r="F127" i="12"/>
  <c r="F128" i="12"/>
  <c r="F100" i="12"/>
  <c r="F101" i="12"/>
  <c r="E17" i="2"/>
  <c r="E16" i="4"/>
  <c r="F17" i="3"/>
  <c r="F48" i="1"/>
  <c r="G36" i="1"/>
  <c r="G46" i="1"/>
  <c r="G17" i="1"/>
  <c r="G9" i="3"/>
  <c r="G10" i="3"/>
  <c r="F46" i="12"/>
  <c r="F47" i="12"/>
  <c r="E19" i="2"/>
  <c r="F73" i="12"/>
  <c r="F74" i="12"/>
  <c r="E20" i="2"/>
  <c r="F10" i="3"/>
  <c r="E22" i="2"/>
  <c r="F19" i="12"/>
  <c r="F20" i="12"/>
  <c r="E18" i="2"/>
  <c r="F9" i="3"/>
  <c r="F13" i="1"/>
  <c r="E23" i="2"/>
  <c r="D12" i="2"/>
  <c r="D10" i="4" s="1"/>
  <c r="D35" i="2"/>
  <c r="G37" i="1"/>
  <c r="G47" i="1"/>
  <c r="K4" i="4"/>
  <c r="L4" i="4" s="1"/>
  <c r="M4" i="4" s="1"/>
  <c r="N4" i="4" s="1"/>
  <c r="O4" i="4" s="1"/>
  <c r="P4" i="4" s="1"/>
  <c r="Q4" i="4" s="1"/>
  <c r="R4" i="4" s="1"/>
  <c r="S4" i="4" s="1"/>
  <c r="T4" i="4" s="1"/>
  <c r="U4" i="4" s="1"/>
  <c r="V4" i="4" s="1"/>
  <c r="W4" i="4" s="1"/>
  <c r="E40" i="1"/>
  <c r="E34" i="3" s="1"/>
  <c r="E36" i="3" s="1"/>
  <c r="D43" i="4" s="1"/>
  <c r="H2" i="1"/>
  <c r="G19" i="1" l="1"/>
  <c r="H10" i="1"/>
  <c r="G20" i="4" s="1"/>
  <c r="H6" i="1"/>
  <c r="H11" i="1"/>
  <c r="H9" i="1"/>
  <c r="G19" i="4" s="1"/>
  <c r="H7" i="1"/>
  <c r="G17" i="4" s="1"/>
  <c r="H18" i="1"/>
  <c r="H8" i="1"/>
  <c r="G18" i="4" s="1"/>
  <c r="H30" i="1"/>
  <c r="H28" i="1"/>
  <c r="H25" i="1"/>
  <c r="H27" i="1"/>
  <c r="H29" i="1"/>
  <c r="H26" i="1"/>
  <c r="H23" i="1"/>
  <c r="H24" i="1"/>
  <c r="H12" i="1"/>
  <c r="G22" i="4" s="1"/>
  <c r="E23" i="4"/>
  <c r="F21" i="2"/>
  <c r="F14" i="3"/>
  <c r="F21" i="4"/>
  <c r="G127" i="12"/>
  <c r="G128" i="12"/>
  <c r="G100" i="12"/>
  <c r="G101" i="12"/>
  <c r="F14" i="12"/>
  <c r="F15" i="3"/>
  <c r="F16" i="3"/>
  <c r="F18" i="3"/>
  <c r="G45" i="1"/>
  <c r="G48" i="1" s="1"/>
  <c r="E30" i="4"/>
  <c r="F17" i="2"/>
  <c r="F16" i="4"/>
  <c r="F50" i="1"/>
  <c r="G8" i="3"/>
  <c r="F8" i="3"/>
  <c r="F7" i="3"/>
  <c r="F21" i="3"/>
  <c r="F19" i="3"/>
  <c r="F20" i="3"/>
  <c r="F22" i="2"/>
  <c r="H36" i="1"/>
  <c r="H46" i="1"/>
  <c r="F20" i="2"/>
  <c r="F11" i="12"/>
  <c r="F19" i="2"/>
  <c r="F12" i="12"/>
  <c r="F18" i="2"/>
  <c r="G73" i="12"/>
  <c r="G74" i="12"/>
  <c r="F13" i="12"/>
  <c r="G46" i="12"/>
  <c r="G47" i="12"/>
  <c r="H17" i="1"/>
  <c r="F15" i="12"/>
  <c r="G19" i="12"/>
  <c r="G20" i="12"/>
  <c r="F23" i="2"/>
  <c r="G13" i="1"/>
  <c r="E35" i="2"/>
  <c r="D39" i="2"/>
  <c r="D40" i="2" s="1"/>
  <c r="H37" i="1"/>
  <c r="H47" i="1"/>
  <c r="E41" i="1"/>
  <c r="D36" i="2"/>
  <c r="F35" i="1"/>
  <c r="F38" i="1" s="1"/>
  <c r="E29" i="4" s="1"/>
  <c r="I2" i="1"/>
  <c r="H19" i="1" l="1"/>
  <c r="I24" i="1"/>
  <c r="I8" i="1"/>
  <c r="H18" i="4" s="1"/>
  <c r="I11" i="1"/>
  <c r="I9" i="1"/>
  <c r="I7" i="1"/>
  <c r="H17" i="4" s="1"/>
  <c r="I30" i="1"/>
  <c r="I23" i="1"/>
  <c r="I27" i="1"/>
  <c r="I10" i="1"/>
  <c r="H20" i="4" s="1"/>
  <c r="I26" i="1"/>
  <c r="I25" i="1"/>
  <c r="I29" i="1"/>
  <c r="I18" i="1"/>
  <c r="I6" i="1"/>
  <c r="I28" i="1"/>
  <c r="I12" i="1"/>
  <c r="H22" i="4" s="1"/>
  <c r="F23" i="4"/>
  <c r="G21" i="2"/>
  <c r="G21" i="4"/>
  <c r="H127" i="12"/>
  <c r="H128" i="12"/>
  <c r="H100" i="12"/>
  <c r="H101" i="12"/>
  <c r="G14" i="12"/>
  <c r="I36" i="1"/>
  <c r="I37" i="1"/>
  <c r="G17" i="2"/>
  <c r="G16" i="4"/>
  <c r="E44" i="4"/>
  <c r="H45" i="1"/>
  <c r="H48" i="1" s="1"/>
  <c r="F30" i="4"/>
  <c r="F11" i="3"/>
  <c r="E12" i="2" s="1"/>
  <c r="E10" i="4" s="1"/>
  <c r="F51" i="1"/>
  <c r="F35" i="3"/>
  <c r="G7" i="3"/>
  <c r="G21" i="3"/>
  <c r="G19" i="3"/>
  <c r="F31" i="1"/>
  <c r="G18" i="2"/>
  <c r="G19" i="2"/>
  <c r="I46" i="1"/>
  <c r="G15" i="12"/>
  <c r="F16" i="12"/>
  <c r="E24" i="4" s="1"/>
  <c r="E25" i="4" s="1"/>
  <c r="G11" i="12"/>
  <c r="G13" i="12"/>
  <c r="H73" i="12"/>
  <c r="H74" i="12"/>
  <c r="I9" i="3"/>
  <c r="I17" i="1"/>
  <c r="H19" i="4"/>
  <c r="I10" i="3"/>
  <c r="H20" i="12"/>
  <c r="H19" i="12"/>
  <c r="G12" i="12"/>
  <c r="G22" i="2"/>
  <c r="H9" i="3"/>
  <c r="H46" i="12"/>
  <c r="H47" i="12"/>
  <c r="H10" i="3"/>
  <c r="G20" i="2"/>
  <c r="G17" i="3"/>
  <c r="G15" i="3"/>
  <c r="G14" i="3"/>
  <c r="G16" i="3"/>
  <c r="G18" i="3"/>
  <c r="E13" i="2"/>
  <c r="E11" i="4" s="1"/>
  <c r="H13" i="1"/>
  <c r="G23" i="2"/>
  <c r="F35" i="2"/>
  <c r="G50" i="1"/>
  <c r="I47" i="1"/>
  <c r="J2" i="1"/>
  <c r="I19" i="1" l="1"/>
  <c r="I100" i="12"/>
  <c r="J23" i="1"/>
  <c r="J11" i="1"/>
  <c r="J9" i="1"/>
  <c r="J7" i="1"/>
  <c r="I17" i="4" s="1"/>
  <c r="J30" i="1"/>
  <c r="J18" i="1"/>
  <c r="J26" i="1"/>
  <c r="J29" i="1"/>
  <c r="J24" i="1"/>
  <c r="J28" i="1"/>
  <c r="J27" i="1"/>
  <c r="J10" i="1"/>
  <c r="I20" i="4" s="1"/>
  <c r="J8" i="1"/>
  <c r="I18" i="4" s="1"/>
  <c r="J6" i="1"/>
  <c r="J25" i="1"/>
  <c r="G23" i="4"/>
  <c r="H21" i="2"/>
  <c r="I101" i="12"/>
  <c r="I14" i="12" s="1"/>
  <c r="H21" i="4"/>
  <c r="I127" i="12"/>
  <c r="I128" i="12"/>
  <c r="H14" i="12"/>
  <c r="H17" i="2"/>
  <c r="H16" i="4"/>
  <c r="I45" i="1"/>
  <c r="I48" i="1" s="1"/>
  <c r="G30" i="4"/>
  <c r="G51" i="1"/>
  <c r="G35" i="3"/>
  <c r="I8" i="3"/>
  <c r="H8" i="3"/>
  <c r="G11" i="3"/>
  <c r="H7" i="3"/>
  <c r="H21" i="3"/>
  <c r="H20" i="3"/>
  <c r="G31" i="1"/>
  <c r="G20" i="3"/>
  <c r="I17" i="3"/>
  <c r="H18" i="2"/>
  <c r="E24" i="2"/>
  <c r="J36" i="1"/>
  <c r="J46" i="1"/>
  <c r="H18" i="3"/>
  <c r="H14" i="3"/>
  <c r="H16" i="3"/>
  <c r="H17" i="3"/>
  <c r="H22" i="2"/>
  <c r="H15" i="3"/>
  <c r="H20" i="2"/>
  <c r="G16" i="12"/>
  <c r="F24" i="4" s="1"/>
  <c r="F25" i="4" s="1"/>
  <c r="H13" i="12"/>
  <c r="I20" i="12"/>
  <c r="I19" i="12"/>
  <c r="I47" i="12"/>
  <c r="I46" i="12"/>
  <c r="I73" i="12"/>
  <c r="I74" i="12"/>
  <c r="H11" i="12"/>
  <c r="I19" i="4"/>
  <c r="J17" i="1"/>
  <c r="J12" i="1"/>
  <c r="I22" i="4" s="1"/>
  <c r="J10" i="3"/>
  <c r="J9" i="3"/>
  <c r="H12" i="12"/>
  <c r="H19" i="2"/>
  <c r="H15" i="12"/>
  <c r="F22" i="3"/>
  <c r="H23" i="2"/>
  <c r="I13" i="1"/>
  <c r="G35" i="2"/>
  <c r="F40" i="1"/>
  <c r="E39" i="2"/>
  <c r="J37" i="1"/>
  <c r="J47" i="1"/>
  <c r="H50" i="1"/>
  <c r="G35" i="1"/>
  <c r="D49" i="4"/>
  <c r="K2" i="1"/>
  <c r="G38" i="1" l="1"/>
  <c r="F29" i="4" s="1"/>
  <c r="J19" i="1"/>
  <c r="K11" i="1"/>
  <c r="K9" i="1"/>
  <c r="K7" i="1"/>
  <c r="J17" i="4" s="1"/>
  <c r="K30" i="1"/>
  <c r="K23" i="1"/>
  <c r="K29" i="1"/>
  <c r="K18" i="1"/>
  <c r="K28" i="1"/>
  <c r="K25" i="1"/>
  <c r="K24" i="1"/>
  <c r="K27" i="1"/>
  <c r="K10" i="1"/>
  <c r="J20" i="4" s="1"/>
  <c r="K8" i="1"/>
  <c r="J18" i="4" s="1"/>
  <c r="K6" i="1"/>
  <c r="K26" i="1"/>
  <c r="H23" i="4"/>
  <c r="I21" i="2"/>
  <c r="I21" i="4"/>
  <c r="J127" i="12"/>
  <c r="J128" i="12"/>
  <c r="J100" i="12"/>
  <c r="J101" i="12"/>
  <c r="I18" i="3"/>
  <c r="J45" i="1"/>
  <c r="J48" i="1" s="1"/>
  <c r="I30" i="4" s="1"/>
  <c r="H30" i="4"/>
  <c r="F44" i="4"/>
  <c r="I17" i="2"/>
  <c r="I16" i="4"/>
  <c r="I14" i="3"/>
  <c r="I20" i="3"/>
  <c r="I21" i="3"/>
  <c r="H51" i="1"/>
  <c r="H35" i="3"/>
  <c r="F36" i="3"/>
  <c r="E43" i="4" s="1"/>
  <c r="F34" i="3"/>
  <c r="E34" i="2"/>
  <c r="E12" i="4" s="1"/>
  <c r="J8" i="3"/>
  <c r="H11" i="3"/>
  <c r="F12" i="2"/>
  <c r="F10" i="4" s="1"/>
  <c r="I16" i="3"/>
  <c r="H31" i="1"/>
  <c r="H19" i="3"/>
  <c r="I7" i="3"/>
  <c r="I19" i="3"/>
  <c r="I15" i="3"/>
  <c r="I12" i="12"/>
  <c r="K36" i="1"/>
  <c r="K46" i="1"/>
  <c r="I20" i="2"/>
  <c r="F24" i="2"/>
  <c r="I15" i="12"/>
  <c r="I19" i="2"/>
  <c r="I11" i="12"/>
  <c r="J20" i="12"/>
  <c r="J19" i="12"/>
  <c r="K10" i="3"/>
  <c r="K17" i="1"/>
  <c r="K12" i="1"/>
  <c r="J22" i="4" s="1"/>
  <c r="J19" i="4"/>
  <c r="J47" i="12"/>
  <c r="J46" i="12"/>
  <c r="I18" i="2"/>
  <c r="I13" i="12"/>
  <c r="H16" i="12"/>
  <c r="G24" i="4" s="1"/>
  <c r="G25" i="4" s="1"/>
  <c r="J73" i="12"/>
  <c r="J74" i="12"/>
  <c r="I22" i="2"/>
  <c r="G22" i="3"/>
  <c r="F13" i="2"/>
  <c r="F11" i="4" s="1"/>
  <c r="I23" i="2"/>
  <c r="J13" i="1"/>
  <c r="F41" i="1"/>
  <c r="D36" i="4" s="1"/>
  <c r="D11" i="2" s="1"/>
  <c r="E40" i="2"/>
  <c r="H35" i="2"/>
  <c r="F39" i="2"/>
  <c r="I50" i="1"/>
  <c r="K37" i="1"/>
  <c r="K47" i="1"/>
  <c r="H35" i="1"/>
  <c r="H38" i="1" s="1"/>
  <c r="E49" i="4"/>
  <c r="L2" i="1"/>
  <c r="G40" i="1" l="1"/>
  <c r="K19" i="1"/>
  <c r="L29" i="1"/>
  <c r="L18" i="1"/>
  <c r="L24" i="1"/>
  <c r="L9" i="1"/>
  <c r="K19" i="4" s="1"/>
  <c r="L28" i="1"/>
  <c r="L7" i="1"/>
  <c r="K17" i="4" s="1"/>
  <c r="L27" i="1"/>
  <c r="L10" i="1"/>
  <c r="K20" i="4" s="1"/>
  <c r="L8" i="1"/>
  <c r="K18" i="4" s="1"/>
  <c r="L6" i="1"/>
  <c r="L26" i="1"/>
  <c r="L30" i="1"/>
  <c r="L25" i="1"/>
  <c r="L23" i="1"/>
  <c r="L11" i="1"/>
  <c r="I23" i="4"/>
  <c r="J21" i="2"/>
  <c r="J21" i="4"/>
  <c r="K127" i="12"/>
  <c r="K128" i="12"/>
  <c r="J14" i="12"/>
  <c r="K100" i="12"/>
  <c r="K101" i="12"/>
  <c r="K45" i="1"/>
  <c r="K48" i="1" s="1"/>
  <c r="J30" i="4" s="1"/>
  <c r="J17" i="2"/>
  <c r="J16" i="4"/>
  <c r="G29" i="4"/>
  <c r="I35" i="1"/>
  <c r="I31" i="1"/>
  <c r="G36" i="3"/>
  <c r="F43" i="4" s="1"/>
  <c r="G34" i="3"/>
  <c r="I51" i="1"/>
  <c r="I35" i="3"/>
  <c r="G12" i="2"/>
  <c r="G10" i="4" s="1"/>
  <c r="F34" i="2"/>
  <c r="H22" i="3"/>
  <c r="I11" i="3"/>
  <c r="J7" i="3"/>
  <c r="J20" i="3"/>
  <c r="J21" i="3"/>
  <c r="J19" i="3"/>
  <c r="I22" i="3"/>
  <c r="J20" i="2"/>
  <c r="J22" i="2"/>
  <c r="L36" i="1"/>
  <c r="L46" i="1"/>
  <c r="J19" i="2"/>
  <c r="J18" i="2"/>
  <c r="G24" i="2"/>
  <c r="I16" i="12"/>
  <c r="H24" i="4" s="1"/>
  <c r="H25" i="4" s="1"/>
  <c r="J11" i="12"/>
  <c r="L9" i="3"/>
  <c r="L17" i="1"/>
  <c r="L19" i="1" s="1"/>
  <c r="L10" i="3"/>
  <c r="L12" i="1"/>
  <c r="K22" i="4" s="1"/>
  <c r="J13" i="12"/>
  <c r="J12" i="12"/>
  <c r="K20" i="12"/>
  <c r="K19" i="12"/>
  <c r="K9" i="3"/>
  <c r="K8" i="3" s="1"/>
  <c r="K73" i="12"/>
  <c r="K74" i="12"/>
  <c r="J15" i="12"/>
  <c r="K46" i="12"/>
  <c r="K47" i="12"/>
  <c r="J16" i="3"/>
  <c r="E36" i="2"/>
  <c r="G13" i="2"/>
  <c r="G11" i="4" s="1"/>
  <c r="K13" i="1"/>
  <c r="J23" i="2"/>
  <c r="H13" i="2"/>
  <c r="G41" i="1"/>
  <c r="E36" i="4" s="1"/>
  <c r="E11" i="2" s="1"/>
  <c r="I35" i="2"/>
  <c r="J50" i="1"/>
  <c r="L37" i="1"/>
  <c r="L47" i="1"/>
  <c r="F40" i="2"/>
  <c r="E48" i="4"/>
  <c r="E50" i="4" s="1"/>
  <c r="M2" i="1"/>
  <c r="M28" i="1" l="1"/>
  <c r="M27" i="1"/>
  <c r="M18" i="1"/>
  <c r="M10" i="1"/>
  <c r="M8" i="1"/>
  <c r="L18" i="4" s="1"/>
  <c r="M6" i="1"/>
  <c r="M26" i="1"/>
  <c r="M30" i="1"/>
  <c r="M29" i="1"/>
  <c r="M25" i="1"/>
  <c r="M23" i="1"/>
  <c r="M11" i="1"/>
  <c r="M24" i="1"/>
  <c r="M9" i="1"/>
  <c r="L19" i="4" s="1"/>
  <c r="M7" i="1"/>
  <c r="L17" i="4" s="1"/>
  <c r="J23" i="4"/>
  <c r="K21" i="2"/>
  <c r="K21" i="4"/>
  <c r="L127" i="12"/>
  <c r="L128" i="12"/>
  <c r="L100" i="12"/>
  <c r="L101" i="12"/>
  <c r="K14" i="12"/>
  <c r="L20" i="4"/>
  <c r="H11" i="4"/>
  <c r="L45" i="1"/>
  <c r="L48" i="1" s="1"/>
  <c r="I38" i="1"/>
  <c r="H29" i="4" s="1"/>
  <c r="G44" i="4"/>
  <c r="K17" i="2"/>
  <c r="K16" i="4"/>
  <c r="F36" i="2"/>
  <c r="F12" i="4"/>
  <c r="J51" i="1"/>
  <c r="J35" i="3"/>
  <c r="H34" i="2"/>
  <c r="G34" i="2"/>
  <c r="G12" i="4" s="1"/>
  <c r="J11" i="3"/>
  <c r="L8" i="3"/>
  <c r="H12" i="2"/>
  <c r="H10" i="4" s="1"/>
  <c r="K7" i="3"/>
  <c r="K11" i="3" s="1"/>
  <c r="K20" i="3"/>
  <c r="K21" i="3"/>
  <c r="J14" i="3"/>
  <c r="L18" i="3"/>
  <c r="J18" i="3"/>
  <c r="J15" i="3"/>
  <c r="K19" i="2"/>
  <c r="M36" i="1"/>
  <c r="M46" i="1"/>
  <c r="K13" i="12"/>
  <c r="J16" i="12"/>
  <c r="H24" i="2"/>
  <c r="L73" i="12"/>
  <c r="L74" i="12"/>
  <c r="K12" i="12"/>
  <c r="K15" i="12"/>
  <c r="M17" i="1"/>
  <c r="M19" i="1" s="1"/>
  <c r="M10" i="3"/>
  <c r="M12" i="1"/>
  <c r="L22" i="4" s="1"/>
  <c r="L20" i="12"/>
  <c r="L19" i="12"/>
  <c r="K18" i="2"/>
  <c r="K11" i="12"/>
  <c r="L46" i="12"/>
  <c r="L47" i="12"/>
  <c r="K22" i="2"/>
  <c r="K20" i="2"/>
  <c r="L13" i="1"/>
  <c r="K23" i="2"/>
  <c r="K50" i="1"/>
  <c r="H40" i="1"/>
  <c r="G39" i="2"/>
  <c r="J35" i="2"/>
  <c r="M37" i="1"/>
  <c r="M47" i="1"/>
  <c r="F48" i="4"/>
  <c r="N2" i="1"/>
  <c r="N27" i="1" l="1"/>
  <c r="N10" i="1"/>
  <c r="M20" i="4" s="1"/>
  <c r="N8" i="1"/>
  <c r="M18" i="4" s="1"/>
  <c r="N6" i="1"/>
  <c r="N26" i="1"/>
  <c r="N25" i="1"/>
  <c r="N24" i="1"/>
  <c r="N30" i="1"/>
  <c r="N23" i="1"/>
  <c r="N28" i="1"/>
  <c r="N11" i="1"/>
  <c r="N9" i="1"/>
  <c r="N7" i="1"/>
  <c r="M17" i="4" s="1"/>
  <c r="N29" i="1"/>
  <c r="N18" i="1"/>
  <c r="L21" i="2"/>
  <c r="K23" i="4"/>
  <c r="L21" i="4"/>
  <c r="M127" i="12"/>
  <c r="M128" i="12"/>
  <c r="M100" i="12"/>
  <c r="M101" i="12"/>
  <c r="L14" i="12"/>
  <c r="H39" i="2"/>
  <c r="I40" i="1"/>
  <c r="I41" i="1" s="1"/>
  <c r="H12" i="4"/>
  <c r="L17" i="2"/>
  <c r="L16" i="4"/>
  <c r="M45" i="1"/>
  <c r="M48" i="1" s="1"/>
  <c r="K30" i="4"/>
  <c r="H44" i="4"/>
  <c r="I24" i="2"/>
  <c r="I24" i="4"/>
  <c r="I25" i="4" s="1"/>
  <c r="H36" i="3"/>
  <c r="G43" i="4" s="1"/>
  <c r="H34" i="3"/>
  <c r="K51" i="1"/>
  <c r="K35" i="3"/>
  <c r="G36" i="2"/>
  <c r="I12" i="2"/>
  <c r="I10" i="4" s="1"/>
  <c r="L16" i="3"/>
  <c r="L14" i="3"/>
  <c r="L15" i="3"/>
  <c r="L17" i="3"/>
  <c r="L7" i="3"/>
  <c r="L20" i="3"/>
  <c r="L21" i="3"/>
  <c r="L19" i="3"/>
  <c r="J31" i="1"/>
  <c r="K19" i="3"/>
  <c r="J17" i="3"/>
  <c r="M16" i="3"/>
  <c r="J12" i="2"/>
  <c r="I13" i="2"/>
  <c r="I11" i="4" s="1"/>
  <c r="K15" i="3"/>
  <c r="K14" i="3"/>
  <c r="K18" i="3"/>
  <c r="K17" i="3"/>
  <c r="K16" i="3"/>
  <c r="N36" i="1"/>
  <c r="N46" i="1"/>
  <c r="L18" i="2"/>
  <c r="L22" i="2"/>
  <c r="L13" i="12"/>
  <c r="L20" i="2"/>
  <c r="L12" i="12"/>
  <c r="M9" i="3"/>
  <c r="M8" i="3" s="1"/>
  <c r="M46" i="12"/>
  <c r="M47" i="12"/>
  <c r="L19" i="2"/>
  <c r="L11" i="12"/>
  <c r="M73" i="12"/>
  <c r="M74" i="12"/>
  <c r="M19" i="12"/>
  <c r="M20" i="12"/>
  <c r="N12" i="1"/>
  <c r="M22" i="4" s="1"/>
  <c r="M19" i="4"/>
  <c r="N10" i="3"/>
  <c r="N9" i="3"/>
  <c r="N17" i="1"/>
  <c r="K16" i="12"/>
  <c r="L15" i="12"/>
  <c r="M13" i="1"/>
  <c r="L23" i="2"/>
  <c r="H41" i="1"/>
  <c r="F36" i="4" s="1"/>
  <c r="K35" i="2"/>
  <c r="L50" i="1"/>
  <c r="F49" i="4"/>
  <c r="F50" i="4" s="1"/>
  <c r="N37" i="1"/>
  <c r="N47" i="1"/>
  <c r="O2" i="1"/>
  <c r="J35" i="1"/>
  <c r="J38" i="1" s="1"/>
  <c r="I29" i="4" s="1"/>
  <c r="N19" i="1" l="1"/>
  <c r="O10" i="1"/>
  <c r="O8" i="1"/>
  <c r="N18" i="4" s="1"/>
  <c r="O6" i="1"/>
  <c r="O26" i="1"/>
  <c r="O27" i="1"/>
  <c r="O25" i="1"/>
  <c r="O24" i="1"/>
  <c r="O29" i="1"/>
  <c r="O23" i="1"/>
  <c r="O11" i="1"/>
  <c r="O9" i="1"/>
  <c r="N19" i="4" s="1"/>
  <c r="O7" i="1"/>
  <c r="N17" i="4" s="1"/>
  <c r="O30" i="1"/>
  <c r="O18" i="1"/>
  <c r="O28" i="1"/>
  <c r="L23" i="4"/>
  <c r="M21" i="2"/>
  <c r="I34" i="3"/>
  <c r="M21" i="4"/>
  <c r="N127" i="12"/>
  <c r="N128" i="12"/>
  <c r="N100" i="12"/>
  <c r="N101" i="12"/>
  <c r="M14" i="12"/>
  <c r="N20" i="4"/>
  <c r="M17" i="2"/>
  <c r="M16" i="4"/>
  <c r="N45" i="1"/>
  <c r="N48" i="1" s="1"/>
  <c r="L30" i="4"/>
  <c r="I44" i="4"/>
  <c r="G36" i="4"/>
  <c r="F11" i="2"/>
  <c r="J24" i="2"/>
  <c r="J24" i="4"/>
  <c r="J25" i="4" s="1"/>
  <c r="J10" i="4"/>
  <c r="L51" i="1"/>
  <c r="L35" i="3"/>
  <c r="N8" i="3"/>
  <c r="L11" i="3"/>
  <c r="L31" i="1"/>
  <c r="L22" i="3" s="1"/>
  <c r="K31" i="1"/>
  <c r="M7" i="3"/>
  <c r="M11" i="3" s="1"/>
  <c r="M21" i="3"/>
  <c r="M19" i="3"/>
  <c r="M20" i="3"/>
  <c r="J22" i="3"/>
  <c r="N16" i="3"/>
  <c r="J13" i="2"/>
  <c r="J11" i="4" s="1"/>
  <c r="O36" i="1"/>
  <c r="O46" i="1"/>
  <c r="M17" i="3"/>
  <c r="M13" i="12"/>
  <c r="L16" i="12"/>
  <c r="K24" i="4" s="1"/>
  <c r="K25" i="4" s="1"/>
  <c r="M18" i="3"/>
  <c r="M15" i="3"/>
  <c r="M20" i="2"/>
  <c r="M15" i="12"/>
  <c r="N73" i="12"/>
  <c r="N74" i="12"/>
  <c r="N46" i="12"/>
  <c r="N47" i="12"/>
  <c r="M19" i="2"/>
  <c r="M11" i="12"/>
  <c r="M12" i="12"/>
  <c r="O10" i="3"/>
  <c r="O12" i="1"/>
  <c r="N22" i="4" s="1"/>
  <c r="O9" i="3"/>
  <c r="O17" i="1"/>
  <c r="N19" i="12"/>
  <c r="N20" i="12"/>
  <c r="M22" i="2"/>
  <c r="M18" i="2"/>
  <c r="M23" i="2"/>
  <c r="N13" i="1"/>
  <c r="K13" i="2"/>
  <c r="L35" i="2"/>
  <c r="I36" i="3"/>
  <c r="H43" i="4" s="1"/>
  <c r="M50" i="1"/>
  <c r="O37" i="1"/>
  <c r="O47" i="1"/>
  <c r="G40" i="2"/>
  <c r="G48" i="4"/>
  <c r="P2" i="1"/>
  <c r="I39" i="2"/>
  <c r="O19" i="1" l="1"/>
  <c r="P25" i="1"/>
  <c r="P27" i="1"/>
  <c r="P8" i="1"/>
  <c r="O18" i="4" s="1"/>
  <c r="P6" i="1"/>
  <c r="P24" i="1"/>
  <c r="P23" i="1"/>
  <c r="P11" i="1"/>
  <c r="P9" i="1"/>
  <c r="O19" i="4" s="1"/>
  <c r="P7" i="1"/>
  <c r="O17" i="4" s="1"/>
  <c r="P30" i="1"/>
  <c r="P28" i="1"/>
  <c r="P29" i="1"/>
  <c r="P18" i="1"/>
  <c r="P10" i="1"/>
  <c r="O20" i="4" s="1"/>
  <c r="P26" i="1"/>
  <c r="M23" i="4"/>
  <c r="N21" i="2"/>
  <c r="K11" i="4"/>
  <c r="N21" i="4"/>
  <c r="O127" i="12"/>
  <c r="O128" i="12"/>
  <c r="O100" i="12"/>
  <c r="O101" i="12"/>
  <c r="N14" i="12"/>
  <c r="G11" i="2"/>
  <c r="N17" i="2"/>
  <c r="N16" i="4"/>
  <c r="O45" i="1"/>
  <c r="O48" i="1" s="1"/>
  <c r="M30" i="4"/>
  <c r="M51" i="1"/>
  <c r="M35" i="3"/>
  <c r="L12" i="2"/>
  <c r="K34" i="2"/>
  <c r="I34" i="2"/>
  <c r="I12" i="4" s="1"/>
  <c r="O8" i="3"/>
  <c r="K12" i="2"/>
  <c r="K10" i="4" s="1"/>
  <c r="N7" i="3"/>
  <c r="N11" i="3" s="1"/>
  <c r="M12" i="2" s="1"/>
  <c r="N21" i="3"/>
  <c r="N19" i="3"/>
  <c r="N20" i="3"/>
  <c r="M14" i="3"/>
  <c r="L13" i="2" s="1"/>
  <c r="L11" i="4" s="1"/>
  <c r="M31" i="1"/>
  <c r="O18" i="3"/>
  <c r="K22" i="3"/>
  <c r="P36" i="1"/>
  <c r="P46" i="1"/>
  <c r="M16" i="12"/>
  <c r="L24" i="4" s="1"/>
  <c r="L25" i="4" s="1"/>
  <c r="K24" i="2"/>
  <c r="N17" i="3"/>
  <c r="N15" i="3"/>
  <c r="N11" i="12"/>
  <c r="N18" i="3"/>
  <c r="N18" i="2"/>
  <c r="N22" i="2"/>
  <c r="N19" i="2"/>
  <c r="O46" i="12"/>
  <c r="O47" i="12"/>
  <c r="P10" i="3"/>
  <c r="P9" i="3"/>
  <c r="P12" i="1"/>
  <c r="O22" i="4" s="1"/>
  <c r="P17" i="1"/>
  <c r="N12" i="12"/>
  <c r="O73" i="12"/>
  <c r="O74" i="12"/>
  <c r="N13" i="12"/>
  <c r="O19" i="12"/>
  <c r="O20" i="12"/>
  <c r="N15" i="12"/>
  <c r="N20" i="2"/>
  <c r="O13" i="1"/>
  <c r="N23" i="2"/>
  <c r="N50" i="1"/>
  <c r="M35" i="2"/>
  <c r="G49" i="4"/>
  <c r="G50" i="4" s="1"/>
  <c r="P37" i="1"/>
  <c r="P47" i="1"/>
  <c r="H36" i="2"/>
  <c r="J40" i="1"/>
  <c r="J34" i="3" s="1"/>
  <c r="Q2" i="1"/>
  <c r="K35" i="1"/>
  <c r="K38" i="1" s="1"/>
  <c r="J29" i="4" s="1"/>
  <c r="P19" i="1" l="1"/>
  <c r="Q24" i="1"/>
  <c r="Q8" i="1"/>
  <c r="P18" i="4" s="1"/>
  <c r="Q25" i="1"/>
  <c r="Q23" i="1"/>
  <c r="Q11" i="1"/>
  <c r="Q9" i="1"/>
  <c r="P19" i="4" s="1"/>
  <c r="Q7" i="1"/>
  <c r="Q30" i="1"/>
  <c r="Q29" i="1"/>
  <c r="Q18" i="1"/>
  <c r="Q27" i="1"/>
  <c r="Q28" i="1"/>
  <c r="Q10" i="1"/>
  <c r="P20" i="4" s="1"/>
  <c r="Q6" i="1"/>
  <c r="Q26" i="1"/>
  <c r="O21" i="2"/>
  <c r="N23" i="4"/>
  <c r="O21" i="4"/>
  <c r="P127" i="12"/>
  <c r="P128" i="12"/>
  <c r="P100" i="12"/>
  <c r="P101" i="12"/>
  <c r="O14" i="12"/>
  <c r="M10" i="4"/>
  <c r="P45" i="1"/>
  <c r="P48" i="1" s="1"/>
  <c r="N30" i="4"/>
  <c r="J44" i="4"/>
  <c r="O17" i="2"/>
  <c r="O16" i="4"/>
  <c r="L10" i="4"/>
  <c r="N51" i="1"/>
  <c r="N35" i="3"/>
  <c r="O18" i="2"/>
  <c r="J34" i="2"/>
  <c r="J12" i="4" s="1"/>
  <c r="P8" i="3"/>
  <c r="N14" i="3"/>
  <c r="N31" i="1"/>
  <c r="O7" i="3"/>
  <c r="O11" i="3" s="1"/>
  <c r="O21" i="3"/>
  <c r="O19" i="3"/>
  <c r="P14" i="3"/>
  <c r="M22" i="3"/>
  <c r="L24" i="2"/>
  <c r="O13" i="12"/>
  <c r="Q36" i="1"/>
  <c r="Q46" i="1"/>
  <c r="O14" i="3"/>
  <c r="O15" i="3"/>
  <c r="O16" i="3"/>
  <c r="O19" i="2"/>
  <c r="O15" i="12"/>
  <c r="N16" i="12"/>
  <c r="M24" i="4" s="1"/>
  <c r="M25" i="4" s="1"/>
  <c r="O11" i="12"/>
  <c r="P47" i="12"/>
  <c r="P46" i="12"/>
  <c r="P73" i="12"/>
  <c r="P74" i="12"/>
  <c r="P20" i="12"/>
  <c r="P19" i="12"/>
  <c r="O12" i="12"/>
  <c r="Q9" i="3"/>
  <c r="Q12" i="1"/>
  <c r="P22" i="4" s="1"/>
  <c r="Q17" i="1"/>
  <c r="Q10" i="3"/>
  <c r="O20" i="2"/>
  <c r="O22" i="2"/>
  <c r="P13" i="1"/>
  <c r="O23" i="2"/>
  <c r="H48" i="4"/>
  <c r="N35" i="2"/>
  <c r="O50" i="1"/>
  <c r="J36" i="3"/>
  <c r="I43" i="4" s="1"/>
  <c r="Q37" i="1"/>
  <c r="Q47" i="1"/>
  <c r="J41" i="1"/>
  <c r="H36" i="4" s="1"/>
  <c r="H40" i="2"/>
  <c r="R2" i="1"/>
  <c r="J39" i="2"/>
  <c r="Q19" i="1" l="1"/>
  <c r="R23" i="1"/>
  <c r="R26" i="1"/>
  <c r="R11" i="1"/>
  <c r="R9" i="1"/>
  <c r="Q19" i="4" s="1"/>
  <c r="R7" i="1"/>
  <c r="R30" i="1"/>
  <c r="R24" i="1"/>
  <c r="R29" i="1"/>
  <c r="R18" i="1"/>
  <c r="R28" i="1"/>
  <c r="R27" i="1"/>
  <c r="R25" i="1"/>
  <c r="R10" i="1"/>
  <c r="Q20" i="4" s="1"/>
  <c r="R8" i="1"/>
  <c r="Q18" i="4" s="1"/>
  <c r="R6" i="1"/>
  <c r="P21" i="2"/>
  <c r="O23" i="4"/>
  <c r="P21" i="4"/>
  <c r="Q127" i="12"/>
  <c r="Q128" i="12"/>
  <c r="P14" i="12"/>
  <c r="Q100" i="12"/>
  <c r="Q101" i="12"/>
  <c r="Q45" i="1"/>
  <c r="Q48" i="1" s="1"/>
  <c r="O30" i="4"/>
  <c r="H11" i="2"/>
  <c r="P17" i="2"/>
  <c r="P16" i="4"/>
  <c r="P18" i="2"/>
  <c r="P17" i="4"/>
  <c r="K12" i="4"/>
  <c r="O51" i="1"/>
  <c r="O35" i="3"/>
  <c r="N12" i="2"/>
  <c r="N10" i="4" s="1"/>
  <c r="L34" i="2"/>
  <c r="L12" i="4" s="1"/>
  <c r="Q8" i="3"/>
  <c r="O31" i="1"/>
  <c r="O20" i="3"/>
  <c r="O17" i="3"/>
  <c r="P7" i="3"/>
  <c r="P21" i="3"/>
  <c r="P20" i="3"/>
  <c r="Q17" i="3"/>
  <c r="M24" i="2"/>
  <c r="R36" i="1"/>
  <c r="R46" i="1"/>
  <c r="P12" i="12"/>
  <c r="N22" i="3"/>
  <c r="P18" i="3"/>
  <c r="P20" i="2"/>
  <c r="P13" i="12"/>
  <c r="P17" i="3"/>
  <c r="P15" i="12"/>
  <c r="P15" i="3"/>
  <c r="Q47" i="12"/>
  <c r="Q46" i="12"/>
  <c r="P19" i="2"/>
  <c r="Q20" i="12"/>
  <c r="Q19" i="12"/>
  <c r="P16" i="3"/>
  <c r="O16" i="12"/>
  <c r="Q73" i="12"/>
  <c r="Q74" i="12"/>
  <c r="R17" i="1"/>
  <c r="R19" i="1" s="1"/>
  <c r="R12" i="1"/>
  <c r="Q22" i="4" s="1"/>
  <c r="R10" i="3"/>
  <c r="R9" i="3"/>
  <c r="P22" i="2"/>
  <c r="P11" i="12"/>
  <c r="M13" i="2"/>
  <c r="M11" i="4" s="1"/>
  <c r="P23" i="2"/>
  <c r="Q13" i="1"/>
  <c r="I48" i="4"/>
  <c r="O35" i="2"/>
  <c r="P50" i="1"/>
  <c r="H49" i="4"/>
  <c r="H50" i="4" s="1"/>
  <c r="I40" i="2"/>
  <c r="I36" i="2"/>
  <c r="R37" i="1"/>
  <c r="R47" i="1"/>
  <c r="K40" i="1"/>
  <c r="K34" i="3" s="1"/>
  <c r="S2" i="1"/>
  <c r="L35" i="1"/>
  <c r="L38" i="1" s="1"/>
  <c r="K29" i="4" s="1"/>
  <c r="S11" i="1" l="1"/>
  <c r="S9" i="1"/>
  <c r="S7" i="1"/>
  <c r="R17" i="4" s="1"/>
  <c r="S30" i="1"/>
  <c r="S24" i="1"/>
  <c r="S29" i="1"/>
  <c r="S18" i="1"/>
  <c r="S28" i="1"/>
  <c r="S27" i="1"/>
  <c r="S25" i="1"/>
  <c r="S10" i="1"/>
  <c r="R20" i="4" s="1"/>
  <c r="S8" i="1"/>
  <c r="R18" i="4" s="1"/>
  <c r="S6" i="1"/>
  <c r="S26" i="1"/>
  <c r="S23" i="1"/>
  <c r="Q21" i="2"/>
  <c r="Q16" i="3"/>
  <c r="Q21" i="4"/>
  <c r="R127" i="12"/>
  <c r="R128" i="12"/>
  <c r="R100" i="12"/>
  <c r="R101" i="12"/>
  <c r="Q14" i="12"/>
  <c r="Q18" i="2"/>
  <c r="Q17" i="4"/>
  <c r="P23" i="4"/>
  <c r="K44" i="4"/>
  <c r="Q17" i="2"/>
  <c r="Q16" i="4"/>
  <c r="R45" i="1"/>
  <c r="R48" i="1" s="1"/>
  <c r="P30" i="4"/>
  <c r="N24" i="2"/>
  <c r="N24" i="4"/>
  <c r="N25" i="4" s="1"/>
  <c r="P51" i="1"/>
  <c r="P35" i="3"/>
  <c r="M34" i="2"/>
  <c r="M12" i="4" s="1"/>
  <c r="R8" i="3"/>
  <c r="P11" i="3"/>
  <c r="O22" i="3"/>
  <c r="P31" i="1"/>
  <c r="P19" i="3"/>
  <c r="Q15" i="3"/>
  <c r="Q18" i="3"/>
  <c r="Q7" i="3"/>
  <c r="Q20" i="3"/>
  <c r="Q19" i="3"/>
  <c r="Q21" i="3"/>
  <c r="Q22" i="2"/>
  <c r="S36" i="1"/>
  <c r="S46" i="1"/>
  <c r="Q11" i="12"/>
  <c r="Q15" i="12"/>
  <c r="Q20" i="2"/>
  <c r="Q13" i="12"/>
  <c r="R46" i="12"/>
  <c r="R47" i="12"/>
  <c r="P16" i="12"/>
  <c r="O24" i="4" s="1"/>
  <c r="O25" i="4" s="1"/>
  <c r="Q19" i="2"/>
  <c r="S17" i="1"/>
  <c r="R19" i="4"/>
  <c r="S10" i="3"/>
  <c r="S12" i="1"/>
  <c r="R22" i="4" s="1"/>
  <c r="S9" i="3"/>
  <c r="R73" i="12"/>
  <c r="R74" i="12"/>
  <c r="Q12" i="12"/>
  <c r="R20" i="12"/>
  <c r="R19" i="12"/>
  <c r="N13" i="2"/>
  <c r="N11" i="4" s="1"/>
  <c r="R13" i="1"/>
  <c r="Q23" i="2"/>
  <c r="P35" i="2"/>
  <c r="K36" i="3"/>
  <c r="J43" i="4" s="1"/>
  <c r="I49" i="4"/>
  <c r="I50" i="4" s="1"/>
  <c r="Q50" i="1"/>
  <c r="S37" i="1"/>
  <c r="S47" i="1"/>
  <c r="J36" i="2"/>
  <c r="T2" i="1"/>
  <c r="K41" i="1"/>
  <c r="I36" i="4" s="1"/>
  <c r="I11" i="2" s="1"/>
  <c r="T29" i="1" l="1"/>
  <c r="T18" i="1"/>
  <c r="T28" i="1"/>
  <c r="T27" i="1"/>
  <c r="T11" i="1"/>
  <c r="T9" i="1"/>
  <c r="S19" i="4" s="1"/>
  <c r="T10" i="1"/>
  <c r="S20" i="4" s="1"/>
  <c r="T8" i="1"/>
  <c r="S18" i="4" s="1"/>
  <c r="T6" i="1"/>
  <c r="T26" i="1"/>
  <c r="T24" i="1"/>
  <c r="T7" i="1"/>
  <c r="S17" i="4" s="1"/>
  <c r="T25" i="1"/>
  <c r="T30" i="1"/>
  <c r="T23" i="1"/>
  <c r="S19" i="1"/>
  <c r="R21" i="2"/>
  <c r="R21" i="4"/>
  <c r="S127" i="12"/>
  <c r="S128" i="12"/>
  <c r="S100" i="12"/>
  <c r="S101" i="12"/>
  <c r="R14" i="12"/>
  <c r="Q23" i="4"/>
  <c r="S45" i="1"/>
  <c r="Q30" i="4"/>
  <c r="R17" i="2"/>
  <c r="R16" i="4"/>
  <c r="R23" i="4" s="1"/>
  <c r="Q51" i="1"/>
  <c r="Q35" i="3"/>
  <c r="O12" i="2"/>
  <c r="O10" i="4" s="1"/>
  <c r="N34" i="2"/>
  <c r="N12" i="4" s="1"/>
  <c r="S8" i="3"/>
  <c r="Q11" i="3"/>
  <c r="R22" i="2"/>
  <c r="R7" i="3"/>
  <c r="R20" i="3"/>
  <c r="R21" i="3"/>
  <c r="R19" i="3"/>
  <c r="Q14" i="3"/>
  <c r="P13" i="2" s="1"/>
  <c r="Q31" i="1"/>
  <c r="R20" i="2"/>
  <c r="O24" i="2"/>
  <c r="P22" i="3"/>
  <c r="R16" i="3"/>
  <c r="R15" i="3"/>
  <c r="R18" i="3"/>
  <c r="R17" i="3"/>
  <c r="S48" i="1"/>
  <c r="T36" i="1"/>
  <c r="T46" i="1"/>
  <c r="R15" i="12"/>
  <c r="R13" i="12"/>
  <c r="Q16" i="12"/>
  <c r="R19" i="2"/>
  <c r="R12" i="12"/>
  <c r="R11" i="12"/>
  <c r="S20" i="12"/>
  <c r="S19" i="12"/>
  <c r="T17" i="1"/>
  <c r="T19" i="1" s="1"/>
  <c r="T9" i="3"/>
  <c r="T10" i="3"/>
  <c r="T12" i="1"/>
  <c r="S22" i="4" s="1"/>
  <c r="S47" i="12"/>
  <c r="S46" i="12"/>
  <c r="S73" i="12"/>
  <c r="S74" i="12"/>
  <c r="R18" i="2"/>
  <c r="O13" i="2"/>
  <c r="O11" i="4" s="1"/>
  <c r="S13" i="1"/>
  <c r="R23" i="2"/>
  <c r="Q35" i="2"/>
  <c r="J48" i="4"/>
  <c r="M35" i="1"/>
  <c r="M38" i="1" s="1"/>
  <c r="L29" i="4" s="1"/>
  <c r="K39" i="2"/>
  <c r="R50" i="1"/>
  <c r="T37" i="1"/>
  <c r="T47" i="1"/>
  <c r="L40" i="1"/>
  <c r="L34" i="3" s="1"/>
  <c r="J40" i="2"/>
  <c r="U2" i="1"/>
  <c r="U28" i="1" l="1"/>
  <c r="U11" i="1"/>
  <c r="U9" i="1"/>
  <c r="U29" i="1"/>
  <c r="U27" i="1"/>
  <c r="U10" i="1"/>
  <c r="T20" i="4" s="1"/>
  <c r="U8" i="1"/>
  <c r="T18" i="4" s="1"/>
  <c r="U6" i="1"/>
  <c r="U26" i="1"/>
  <c r="U23" i="1"/>
  <c r="U18" i="1"/>
  <c r="U25" i="1"/>
  <c r="U7" i="1"/>
  <c r="T17" i="4" s="1"/>
  <c r="U24" i="1"/>
  <c r="U30" i="1"/>
  <c r="S21" i="2"/>
  <c r="T127" i="12"/>
  <c r="T128" i="12"/>
  <c r="T100" i="12"/>
  <c r="T101" i="12"/>
  <c r="S14" i="12"/>
  <c r="L44" i="4"/>
  <c r="T45" i="1"/>
  <c r="T48" i="1" s="1"/>
  <c r="R30" i="4"/>
  <c r="S17" i="2"/>
  <c r="S16" i="4"/>
  <c r="S22" i="2"/>
  <c r="S21" i="4"/>
  <c r="P11" i="4"/>
  <c r="P24" i="2"/>
  <c r="P24" i="4"/>
  <c r="P25" i="4" s="1"/>
  <c r="R51" i="1"/>
  <c r="R35" i="3"/>
  <c r="P12" i="2"/>
  <c r="P10" i="4" s="1"/>
  <c r="O34" i="2"/>
  <c r="O12" i="4" s="1"/>
  <c r="T8" i="3"/>
  <c r="R11" i="3"/>
  <c r="Q22" i="3"/>
  <c r="S20" i="2"/>
  <c r="S7" i="3"/>
  <c r="S20" i="3"/>
  <c r="S21" i="3"/>
  <c r="S19" i="3"/>
  <c r="R14" i="3"/>
  <c r="R31" i="1"/>
  <c r="T17" i="3"/>
  <c r="U36" i="1"/>
  <c r="U46" i="1"/>
  <c r="R16" i="12"/>
  <c r="Q24" i="4" s="1"/>
  <c r="Q25" i="4" s="1"/>
  <c r="S11" i="12"/>
  <c r="S19" i="2"/>
  <c r="S12" i="12"/>
  <c r="S18" i="2"/>
  <c r="U17" i="1"/>
  <c r="T19" i="4"/>
  <c r="U10" i="3"/>
  <c r="U9" i="3"/>
  <c r="U12" i="1"/>
  <c r="T22" i="4" s="1"/>
  <c r="T19" i="12"/>
  <c r="T20" i="12"/>
  <c r="S13" i="12"/>
  <c r="T47" i="12"/>
  <c r="T46" i="12"/>
  <c r="S15" i="12"/>
  <c r="T73" i="12"/>
  <c r="T74" i="12"/>
  <c r="S16" i="3"/>
  <c r="S15" i="3"/>
  <c r="S17" i="3"/>
  <c r="S18" i="3"/>
  <c r="L39" i="2"/>
  <c r="S23" i="2"/>
  <c r="T13" i="1"/>
  <c r="R35" i="2"/>
  <c r="L41" i="1"/>
  <c r="J36" i="4" s="1"/>
  <c r="J11" i="2" s="1"/>
  <c r="L36" i="3"/>
  <c r="K43" i="4" s="1"/>
  <c r="K40" i="2"/>
  <c r="K36" i="2"/>
  <c r="U37" i="1"/>
  <c r="U47" i="1"/>
  <c r="S50" i="1"/>
  <c r="M40" i="1"/>
  <c r="M34" i="3" s="1"/>
  <c r="V2" i="1"/>
  <c r="N35" i="1"/>
  <c r="N38" i="1" s="1"/>
  <c r="M29" i="4" s="1"/>
  <c r="U19" i="1" l="1"/>
  <c r="V27" i="1"/>
  <c r="V18" i="1"/>
  <c r="V10" i="1"/>
  <c r="V8" i="1"/>
  <c r="U18" i="4" s="1"/>
  <c r="V6" i="1"/>
  <c r="V26" i="1"/>
  <c r="V28" i="1"/>
  <c r="V25" i="1"/>
  <c r="V24" i="1"/>
  <c r="V29" i="1"/>
  <c r="V23" i="1"/>
  <c r="V30" i="1"/>
  <c r="V11" i="1"/>
  <c r="V9" i="1"/>
  <c r="U19" i="4" s="1"/>
  <c r="V7" i="1"/>
  <c r="U17" i="4" s="1"/>
  <c r="T21" i="2"/>
  <c r="T21" i="4"/>
  <c r="U127" i="12"/>
  <c r="U128" i="12"/>
  <c r="T14" i="12"/>
  <c r="U100" i="12"/>
  <c r="U101" i="12"/>
  <c r="U20" i="4"/>
  <c r="S23" i="4"/>
  <c r="U45" i="1"/>
  <c r="U48" i="1" s="1"/>
  <c r="S30" i="4"/>
  <c r="T17" i="2"/>
  <c r="T16" i="4"/>
  <c r="M44" i="4"/>
  <c r="T20" i="2"/>
  <c r="S51" i="1"/>
  <c r="S35" i="3"/>
  <c r="Q12" i="2"/>
  <c r="Q10" i="4" s="1"/>
  <c r="P34" i="2"/>
  <c r="P12" i="4" s="1"/>
  <c r="U8" i="3"/>
  <c r="S11" i="3"/>
  <c r="R22" i="3"/>
  <c r="S14" i="3"/>
  <c r="S31" i="1"/>
  <c r="T7" i="3"/>
  <c r="T11" i="3" s="1"/>
  <c r="T20" i="3"/>
  <c r="T21" i="3"/>
  <c r="T19" i="3"/>
  <c r="Q13" i="2"/>
  <c r="Q11" i="4" s="1"/>
  <c r="Q24" i="2"/>
  <c r="T19" i="2"/>
  <c r="T15" i="12"/>
  <c r="V36" i="1"/>
  <c r="V46" i="1"/>
  <c r="T16" i="3"/>
  <c r="T18" i="2"/>
  <c r="T15" i="3"/>
  <c r="S16" i="12"/>
  <c r="R24" i="4" s="1"/>
  <c r="R25" i="4" s="1"/>
  <c r="U46" i="12"/>
  <c r="U47" i="12"/>
  <c r="T13" i="12"/>
  <c r="T11" i="12"/>
  <c r="U73" i="12"/>
  <c r="U74" i="12"/>
  <c r="V12" i="1"/>
  <c r="U22" i="4" s="1"/>
  <c r="V10" i="3"/>
  <c r="V9" i="3"/>
  <c r="V17" i="1"/>
  <c r="V19" i="1" s="1"/>
  <c r="U19" i="12"/>
  <c r="U20" i="12"/>
  <c r="T12" i="12"/>
  <c r="T22" i="2"/>
  <c r="U13" i="1"/>
  <c r="T23" i="2"/>
  <c r="S35" i="2"/>
  <c r="K49" i="4"/>
  <c r="M36" i="3"/>
  <c r="L43" i="4" s="1"/>
  <c r="J49" i="4"/>
  <c r="J50" i="4" s="1"/>
  <c r="T50" i="1"/>
  <c r="V37" i="1"/>
  <c r="V47" i="1"/>
  <c r="L36" i="2"/>
  <c r="W2" i="1"/>
  <c r="M41" i="1"/>
  <c r="K36" i="4" s="1"/>
  <c r="K11" i="2" s="1"/>
  <c r="W10" i="1" l="1"/>
  <c r="V20" i="4" s="1"/>
  <c r="W8" i="1"/>
  <c r="V18" i="4" s="1"/>
  <c r="W6" i="1"/>
  <c r="W26" i="1"/>
  <c r="W25" i="1"/>
  <c r="W29" i="1"/>
  <c r="W18" i="1"/>
  <c r="W24" i="1"/>
  <c r="W23" i="1"/>
  <c r="W27" i="1"/>
  <c r="W11" i="1"/>
  <c r="W9" i="1"/>
  <c r="W7" i="1"/>
  <c r="V17" i="4" s="1"/>
  <c r="W30" i="1"/>
  <c r="W28" i="1"/>
  <c r="U21" i="2"/>
  <c r="T23" i="4"/>
  <c r="U21" i="4"/>
  <c r="V127" i="12"/>
  <c r="V128" i="12"/>
  <c r="V100" i="12"/>
  <c r="V101" i="12"/>
  <c r="U14" i="12"/>
  <c r="U17" i="2"/>
  <c r="U16" i="4"/>
  <c r="V45" i="1"/>
  <c r="V48" i="1" s="1"/>
  <c r="T30" i="4"/>
  <c r="P36" i="2"/>
  <c r="T51" i="1"/>
  <c r="T35" i="3"/>
  <c r="S12" i="2"/>
  <c r="Q34" i="2"/>
  <c r="Q12" i="4" s="1"/>
  <c r="V8" i="3"/>
  <c r="R12" i="2"/>
  <c r="R10" i="4" s="1"/>
  <c r="T18" i="3"/>
  <c r="U7" i="3"/>
  <c r="U21" i="3"/>
  <c r="U19" i="3"/>
  <c r="U20" i="3"/>
  <c r="T31" i="1"/>
  <c r="T14" i="3"/>
  <c r="R24" i="2"/>
  <c r="W36" i="1"/>
  <c r="W46" i="1"/>
  <c r="S22" i="3"/>
  <c r="U12" i="12"/>
  <c r="T16" i="12"/>
  <c r="S24" i="4" s="1"/>
  <c r="S25" i="4" s="1"/>
  <c r="U13" i="12"/>
  <c r="U22" i="2"/>
  <c r="V47" i="12"/>
  <c r="V46" i="12"/>
  <c r="V19" i="4"/>
  <c r="W10" i="3"/>
  <c r="W12" i="1"/>
  <c r="V22" i="4" s="1"/>
  <c r="W9" i="3"/>
  <c r="W17" i="1"/>
  <c r="U11" i="12"/>
  <c r="V73" i="12"/>
  <c r="V74" i="12"/>
  <c r="U19" i="2"/>
  <c r="U20" i="2"/>
  <c r="U15" i="12"/>
  <c r="V19" i="12"/>
  <c r="V20" i="12"/>
  <c r="U18" i="2"/>
  <c r="U18" i="3"/>
  <c r="R13" i="2"/>
  <c r="R11" i="4" s="1"/>
  <c r="U15" i="3"/>
  <c r="U17" i="3"/>
  <c r="U16" i="3"/>
  <c r="U23" i="2"/>
  <c r="V13" i="1"/>
  <c r="T35" i="2"/>
  <c r="W37" i="1"/>
  <c r="W47" i="1"/>
  <c r="U50" i="1"/>
  <c r="K48" i="4"/>
  <c r="K50" i="4" s="1"/>
  <c r="M39" i="2"/>
  <c r="L40" i="2"/>
  <c r="X2" i="1"/>
  <c r="W19" i="1" l="1"/>
  <c r="X25" i="1"/>
  <c r="X24" i="1"/>
  <c r="X23" i="1"/>
  <c r="X8" i="1"/>
  <c r="W18" i="4" s="1"/>
  <c r="X6" i="1"/>
  <c r="X26" i="1"/>
  <c r="X11" i="1"/>
  <c r="X9" i="1"/>
  <c r="W19" i="4" s="1"/>
  <c r="X7" i="1"/>
  <c r="W17" i="4" s="1"/>
  <c r="X30" i="1"/>
  <c r="X27" i="1"/>
  <c r="X10" i="1"/>
  <c r="W20" i="4" s="1"/>
  <c r="X29" i="1"/>
  <c r="X18" i="1"/>
  <c r="X28" i="1"/>
  <c r="V21" i="2"/>
  <c r="U23" i="4"/>
  <c r="V21" i="4"/>
  <c r="W127" i="12"/>
  <c r="W128" i="12"/>
  <c r="W100" i="12"/>
  <c r="W101" i="12"/>
  <c r="V14" i="12"/>
  <c r="W45" i="1"/>
  <c r="W48" i="1" s="1"/>
  <c r="U30" i="4"/>
  <c r="V17" i="2"/>
  <c r="V16" i="4"/>
  <c r="Q36" i="2"/>
  <c r="S10" i="4"/>
  <c r="U51" i="1"/>
  <c r="U35" i="3"/>
  <c r="R34" i="2"/>
  <c r="W8" i="3"/>
  <c r="U11" i="3"/>
  <c r="T22" i="3"/>
  <c r="U31" i="1"/>
  <c r="U14" i="3"/>
  <c r="V7" i="3"/>
  <c r="V21" i="3"/>
  <c r="V19" i="3"/>
  <c r="V20" i="3"/>
  <c r="S24" i="2"/>
  <c r="V19" i="2"/>
  <c r="X36" i="1"/>
  <c r="X46" i="1"/>
  <c r="V20" i="2"/>
  <c r="V13" i="12"/>
  <c r="V15" i="12"/>
  <c r="V12" i="12"/>
  <c r="V18" i="2"/>
  <c r="U16" i="12"/>
  <c r="T24" i="4" s="1"/>
  <c r="T25" i="4" s="1"/>
  <c r="V11" i="12"/>
  <c r="V22" i="2"/>
  <c r="W46" i="12"/>
  <c r="W47" i="12"/>
  <c r="W20" i="12"/>
  <c r="W19" i="12"/>
  <c r="X17" i="1"/>
  <c r="X12" i="1"/>
  <c r="W22" i="4" s="1"/>
  <c r="W73" i="12"/>
  <c r="W74" i="12"/>
  <c r="V15" i="3"/>
  <c r="S13" i="2"/>
  <c r="S11" i="4" s="1"/>
  <c r="V18" i="3"/>
  <c r="V16" i="3"/>
  <c r="V17" i="3"/>
  <c r="W13" i="1"/>
  <c r="V23" i="2"/>
  <c r="L48" i="4"/>
  <c r="U35" i="2"/>
  <c r="V50" i="1"/>
  <c r="X37" i="1"/>
  <c r="X47" i="1"/>
  <c r="O35" i="1"/>
  <c r="O38" i="1" s="1"/>
  <c r="N29" i="4" s="1"/>
  <c r="N40" i="1"/>
  <c r="X19" i="1" l="1"/>
  <c r="W21" i="2"/>
  <c r="V23" i="4"/>
  <c r="W21" i="4"/>
  <c r="X127" i="12"/>
  <c r="X128" i="12"/>
  <c r="W14" i="12"/>
  <c r="X100" i="12"/>
  <c r="X101" i="12"/>
  <c r="AA104" i="12" s="1" a="1"/>
  <c r="W17" i="2"/>
  <c r="W16" i="4"/>
  <c r="X45" i="1"/>
  <c r="X48" i="1" s="1"/>
  <c r="V30" i="4"/>
  <c r="N44" i="4"/>
  <c r="R36" i="2"/>
  <c r="R12" i="4"/>
  <c r="V51" i="1"/>
  <c r="V35" i="3"/>
  <c r="N36" i="3"/>
  <c r="M43" i="4" s="1"/>
  <c r="N34" i="3"/>
  <c r="T12" i="2"/>
  <c r="T10" i="4" s="1"/>
  <c r="S34" i="2"/>
  <c r="V11" i="3"/>
  <c r="W7" i="3"/>
  <c r="W21" i="3"/>
  <c r="W19" i="3"/>
  <c r="W20" i="3"/>
  <c r="V14" i="3"/>
  <c r="V31" i="1"/>
  <c r="X16" i="3"/>
  <c r="V16" i="12"/>
  <c r="U24" i="4" s="1"/>
  <c r="U25" i="4" s="1"/>
  <c r="W18" i="3"/>
  <c r="T24" i="2"/>
  <c r="W22" i="2"/>
  <c r="W11" i="12"/>
  <c r="W15" i="12"/>
  <c r="X46" i="12"/>
  <c r="X47" i="12"/>
  <c r="AA50" i="12" s="1" a="1"/>
  <c r="X73" i="12"/>
  <c r="X74" i="12"/>
  <c r="X10" i="3"/>
  <c r="W19" i="2"/>
  <c r="W20" i="2"/>
  <c r="W18" i="2"/>
  <c r="X20" i="12"/>
  <c r="AA23" i="12" s="1" a="1"/>
  <c r="X19" i="12"/>
  <c r="W13" i="12"/>
  <c r="X9" i="3"/>
  <c r="W12" i="12"/>
  <c r="U22" i="3"/>
  <c r="W17" i="3"/>
  <c r="W16" i="3"/>
  <c r="W23" i="2"/>
  <c r="X13" i="1"/>
  <c r="V35" i="2"/>
  <c r="W50" i="1"/>
  <c r="L49" i="4"/>
  <c r="L50" i="4" s="1"/>
  <c r="N41" i="1"/>
  <c r="L36" i="4" s="1"/>
  <c r="M36" i="2"/>
  <c r="N39" i="2"/>
  <c r="O36" i="2"/>
  <c r="W23" i="4" l="1"/>
  <c r="AA109" i="12"/>
  <c r="J109" i="12" s="1"/>
  <c r="AA123" i="12"/>
  <c r="X123" i="12" s="1"/>
  <c r="AA107" i="12"/>
  <c r="H107" i="12" s="1"/>
  <c r="AA108" i="12"/>
  <c r="I108" i="12" s="1"/>
  <c r="AA106" i="12"/>
  <c r="G106" i="12" s="1"/>
  <c r="AA120" i="12"/>
  <c r="U120" i="12" s="1"/>
  <c r="AA122" i="12"/>
  <c r="W122" i="12" s="1"/>
  <c r="X122" i="12" s="1"/>
  <c r="AA112" i="12"/>
  <c r="M112" i="12" s="1"/>
  <c r="AA110" i="12"/>
  <c r="K110" i="12" s="1"/>
  <c r="AA118" i="12"/>
  <c r="S118" i="12" s="1"/>
  <c r="AA113" i="12"/>
  <c r="N113" i="12" s="1"/>
  <c r="AA117" i="12"/>
  <c r="R117" i="12" s="1"/>
  <c r="AA114" i="12"/>
  <c r="O114" i="12" s="1"/>
  <c r="AA121" i="12"/>
  <c r="V121" i="12" s="1"/>
  <c r="W121" i="12" s="1"/>
  <c r="X121" i="12" s="1"/>
  <c r="AA111" i="12"/>
  <c r="L111" i="12" s="1"/>
  <c r="AA115" i="12"/>
  <c r="P115" i="12" s="1"/>
  <c r="AA105" i="12"/>
  <c r="F105" i="12" s="1"/>
  <c r="AA116" i="12"/>
  <c r="Q116" i="12" s="1"/>
  <c r="AA119" i="12"/>
  <c r="T119" i="12" s="1"/>
  <c r="AA104" i="12"/>
  <c r="E104" i="12" s="1"/>
  <c r="X14" i="12"/>
  <c r="X50" i="1"/>
  <c r="X51" i="1" s="1"/>
  <c r="W30" i="4"/>
  <c r="L11" i="2"/>
  <c r="S36" i="2"/>
  <c r="S12" i="4"/>
  <c r="W51" i="1"/>
  <c r="W35" i="3"/>
  <c r="U12" i="2"/>
  <c r="U10" i="4" s="1"/>
  <c r="T34" i="2"/>
  <c r="T12" i="4" s="1"/>
  <c r="X8" i="3"/>
  <c r="W11" i="3"/>
  <c r="X18" i="3"/>
  <c r="X17" i="3"/>
  <c r="X14" i="3"/>
  <c r="X15" i="3"/>
  <c r="X7" i="3"/>
  <c r="X21" i="3"/>
  <c r="X20" i="3"/>
  <c r="U24" i="2"/>
  <c r="W14" i="3"/>
  <c r="W15" i="3"/>
  <c r="X11" i="12"/>
  <c r="AA38" i="12"/>
  <c r="T38" i="12" s="1"/>
  <c r="AA41" i="12"/>
  <c r="W41" i="12" s="1"/>
  <c r="X41" i="12" s="1"/>
  <c r="AA36" i="12"/>
  <c r="R36" i="12" s="1"/>
  <c r="AA29" i="12"/>
  <c r="K29" i="12" s="1"/>
  <c r="AA28" i="12"/>
  <c r="J28" i="12" s="1"/>
  <c r="AA39" i="12"/>
  <c r="U39" i="12" s="1"/>
  <c r="AA26" i="12"/>
  <c r="H26" i="12" s="1"/>
  <c r="AA25" i="12"/>
  <c r="G25" i="12" s="1"/>
  <c r="AA24" i="12"/>
  <c r="F24" i="12" s="1"/>
  <c r="AA42" i="12"/>
  <c r="X42" i="12" s="1"/>
  <c r="AA31" i="12"/>
  <c r="M31" i="12" s="1"/>
  <c r="AA40" i="12"/>
  <c r="V40" i="12" s="1"/>
  <c r="W40" i="12" s="1"/>
  <c r="X40" i="12" s="1"/>
  <c r="AA30" i="12"/>
  <c r="L30" i="12" s="1"/>
  <c r="AA33" i="12"/>
  <c r="O33" i="12" s="1"/>
  <c r="AA23" i="12"/>
  <c r="E23" i="12" s="1"/>
  <c r="AA27" i="12"/>
  <c r="I27" i="12" s="1"/>
  <c r="AA34" i="12"/>
  <c r="P34" i="12" s="1"/>
  <c r="AA35" i="12"/>
  <c r="Q35" i="12" s="1"/>
  <c r="AA32" i="12"/>
  <c r="N32" i="12" s="1"/>
  <c r="AA37" i="12"/>
  <c r="S37" i="12" s="1"/>
  <c r="X13" i="12"/>
  <c r="AA77" i="12" a="1"/>
  <c r="AA58" i="12"/>
  <c r="M58" i="12" s="1"/>
  <c r="AA52" i="12"/>
  <c r="G52" i="12" s="1"/>
  <c r="AA69" i="12"/>
  <c r="X69" i="12" s="1"/>
  <c r="AA64" i="12"/>
  <c r="S64" i="12" s="1"/>
  <c r="AA56" i="12"/>
  <c r="K56" i="12" s="1"/>
  <c r="AA50" i="12"/>
  <c r="E50" i="12" s="1"/>
  <c r="AA63" i="12"/>
  <c r="R63" i="12" s="1"/>
  <c r="AA57" i="12"/>
  <c r="L57" i="12" s="1"/>
  <c r="AA68" i="12"/>
  <c r="W68" i="12" s="1"/>
  <c r="X68" i="12" s="1"/>
  <c r="AA62" i="12"/>
  <c r="Q62" i="12" s="1"/>
  <c r="AA67" i="12"/>
  <c r="V67" i="12" s="1"/>
  <c r="W67" i="12" s="1"/>
  <c r="X67" i="12" s="1"/>
  <c r="AA55" i="12"/>
  <c r="J55" i="12" s="1"/>
  <c r="AA66" i="12"/>
  <c r="U66" i="12" s="1"/>
  <c r="AA60" i="12"/>
  <c r="O60" i="12" s="1"/>
  <c r="AA54" i="12"/>
  <c r="I54" i="12" s="1"/>
  <c r="AA59" i="12"/>
  <c r="N59" i="12" s="1"/>
  <c r="AA61" i="12"/>
  <c r="P61" i="12" s="1"/>
  <c r="AA53" i="12"/>
  <c r="H53" i="12" s="1"/>
  <c r="AA65" i="12"/>
  <c r="T65" i="12" s="1"/>
  <c r="AA51" i="12"/>
  <c r="F51" i="12" s="1"/>
  <c r="W16" i="12"/>
  <c r="V24" i="4" s="1"/>
  <c r="V25" i="4" s="1"/>
  <c r="X15" i="12"/>
  <c r="AA131" i="12" a="1"/>
  <c r="X12" i="12"/>
  <c r="V22" i="3"/>
  <c r="AA157" i="12" a="1"/>
  <c r="T13" i="2"/>
  <c r="T11" i="4" s="1"/>
  <c r="U13" i="2"/>
  <c r="O40" i="1"/>
  <c r="P35" i="1"/>
  <c r="P38" i="1" s="1"/>
  <c r="O29" i="4" s="1"/>
  <c r="M40" i="2"/>
  <c r="O59" i="12" l="1"/>
  <c r="P59" i="12" s="1"/>
  <c r="Q59" i="12" s="1"/>
  <c r="R59" i="12" s="1"/>
  <c r="V39" i="12"/>
  <c r="W39" i="12" s="1"/>
  <c r="X39" i="12" s="1"/>
  <c r="F50" i="12"/>
  <c r="G50" i="12" s="1"/>
  <c r="H50" i="12" s="1"/>
  <c r="I50" i="12" s="1"/>
  <c r="T37" i="12"/>
  <c r="U37" i="12" s="1"/>
  <c r="V37" i="12" s="1"/>
  <c r="W37" i="12" s="1"/>
  <c r="X37" i="12" s="1"/>
  <c r="L29" i="12"/>
  <c r="M29" i="12" s="1"/>
  <c r="N29" i="12" s="1"/>
  <c r="M111" i="12"/>
  <c r="P33" i="12"/>
  <c r="Q33" i="12" s="1"/>
  <c r="P60" i="12"/>
  <c r="Q60" i="12" s="1"/>
  <c r="R60" i="12" s="1"/>
  <c r="V66" i="12"/>
  <c r="W66" i="12" s="1"/>
  <c r="X66" i="12" s="1"/>
  <c r="L56" i="12"/>
  <c r="M56" i="12" s="1"/>
  <c r="O32" i="12"/>
  <c r="P32" i="12" s="1"/>
  <c r="N31" i="12"/>
  <c r="O31" i="12" s="1"/>
  <c r="P31" i="12" s="1"/>
  <c r="Q31" i="12" s="1"/>
  <c r="S36" i="12"/>
  <c r="T36" i="12" s="1"/>
  <c r="V120" i="12"/>
  <c r="W120" i="12" s="1"/>
  <c r="M57" i="12"/>
  <c r="N57" i="12" s="1"/>
  <c r="G105" i="12"/>
  <c r="H105" i="12" s="1"/>
  <c r="G51" i="12"/>
  <c r="H51" i="12" s="1"/>
  <c r="K55" i="12"/>
  <c r="L55" i="12" s="1"/>
  <c r="M55" i="12" s="1"/>
  <c r="N55" i="12" s="1"/>
  <c r="T64" i="12"/>
  <c r="U64" i="12" s="1"/>
  <c r="V64" i="12" s="1"/>
  <c r="R35" i="12"/>
  <c r="S35" i="12" s="1"/>
  <c r="P114" i="12"/>
  <c r="Q114" i="12" s="1"/>
  <c r="R114" i="12" s="1"/>
  <c r="S114" i="12" s="1"/>
  <c r="H106" i="12"/>
  <c r="I106" i="12" s="1"/>
  <c r="J106" i="12" s="1"/>
  <c r="Q34" i="12"/>
  <c r="R34" i="12" s="1"/>
  <c r="G24" i="12"/>
  <c r="H24" i="12" s="1"/>
  <c r="I24" i="12" s="1"/>
  <c r="J24" i="12" s="1"/>
  <c r="U38" i="12"/>
  <c r="V38" i="12" s="1"/>
  <c r="W38" i="12" s="1"/>
  <c r="X38" i="12" s="1"/>
  <c r="F104" i="12"/>
  <c r="G104" i="12" s="1"/>
  <c r="S117" i="12"/>
  <c r="T117" i="12" s="1"/>
  <c r="J108" i="12"/>
  <c r="I53" i="12"/>
  <c r="R62" i="12"/>
  <c r="S62" i="12" s="1"/>
  <c r="T62" i="12" s="1"/>
  <c r="U62" i="12" s="1"/>
  <c r="V62" i="12" s="1"/>
  <c r="W62" i="12" s="1"/>
  <c r="X62" i="12" s="1"/>
  <c r="H52" i="12"/>
  <c r="I52" i="12" s="1"/>
  <c r="J27" i="12"/>
  <c r="K27" i="12" s="1"/>
  <c r="H25" i="12"/>
  <c r="I25" i="12" s="1"/>
  <c r="J25" i="12" s="1"/>
  <c r="U119" i="12"/>
  <c r="V119" i="12" s="1"/>
  <c r="O113" i="12"/>
  <c r="P113" i="12" s="1"/>
  <c r="I107" i="12"/>
  <c r="U65" i="12"/>
  <c r="V65" i="12" s="1"/>
  <c r="W65" i="12" s="1"/>
  <c r="Q61" i="12"/>
  <c r="R61" i="12" s="1"/>
  <c r="S61" i="12" s="1"/>
  <c r="N58" i="12"/>
  <c r="O58" i="12" s="1"/>
  <c r="F23" i="12"/>
  <c r="G23" i="12" s="1"/>
  <c r="I26" i="12"/>
  <c r="J26" i="12" s="1"/>
  <c r="K26" i="12" s="1"/>
  <c r="L26" i="12" s="1"/>
  <c r="M26" i="12" s="1"/>
  <c r="R116" i="12"/>
  <c r="S116" i="12" s="1"/>
  <c r="T118" i="12"/>
  <c r="U118" i="12" s="1"/>
  <c r="V118" i="12" s="1"/>
  <c r="L110" i="12"/>
  <c r="M110" i="12" s="1"/>
  <c r="K109" i="12"/>
  <c r="L109" i="12"/>
  <c r="M109" i="12" s="1"/>
  <c r="J54" i="12"/>
  <c r="K54" i="12" s="1"/>
  <c r="S63" i="12"/>
  <c r="T63" i="12" s="1"/>
  <c r="U63" i="12" s="1"/>
  <c r="M30" i="12"/>
  <c r="N30" i="12" s="1"/>
  <c r="K28" i="12"/>
  <c r="L28" i="12" s="1"/>
  <c r="M28" i="12" s="1"/>
  <c r="Q115" i="12"/>
  <c r="R115" i="12" s="1"/>
  <c r="N112" i="12"/>
  <c r="T55" i="1"/>
  <c r="L55" i="1"/>
  <c r="W55" i="1"/>
  <c r="N55" i="1"/>
  <c r="M55" i="1"/>
  <c r="S55" i="1"/>
  <c r="K55" i="1"/>
  <c r="O55" i="1"/>
  <c r="U55" i="1"/>
  <c r="R55" i="1"/>
  <c r="J55" i="1"/>
  <c r="G55" i="1"/>
  <c r="F55" i="1"/>
  <c r="E55" i="1"/>
  <c r="Q55" i="1"/>
  <c r="I55" i="1"/>
  <c r="X55" i="1"/>
  <c r="P55" i="1"/>
  <c r="H55" i="1"/>
  <c r="V55" i="1"/>
  <c r="E124" i="12"/>
  <c r="E64" i="1" s="1"/>
  <c r="E28" i="3" s="1"/>
  <c r="F124" i="12"/>
  <c r="F64" i="1" s="1"/>
  <c r="F28" i="3" s="1"/>
  <c r="U11" i="4"/>
  <c r="X35" i="3"/>
  <c r="O44" i="4"/>
  <c r="O36" i="3"/>
  <c r="N43" i="4" s="1"/>
  <c r="O34" i="3"/>
  <c r="V12" i="2"/>
  <c r="V10" i="4" s="1"/>
  <c r="U34" i="2"/>
  <c r="X11" i="3"/>
  <c r="W31" i="1"/>
  <c r="W22" i="3" s="1"/>
  <c r="X31" i="1"/>
  <c r="X19" i="3"/>
  <c r="X22" i="3" s="1"/>
  <c r="V24" i="2"/>
  <c r="E43" i="12"/>
  <c r="E61" i="1" s="1"/>
  <c r="E25" i="3" s="1"/>
  <c r="AA147" i="12"/>
  <c r="U147" i="12" s="1"/>
  <c r="AA136" i="12"/>
  <c r="J136" i="12" s="1"/>
  <c r="AA131" i="12"/>
  <c r="E131" i="12" s="1"/>
  <c r="AA133" i="12"/>
  <c r="G133" i="12" s="1"/>
  <c r="AA139" i="12"/>
  <c r="M139" i="12" s="1"/>
  <c r="AA141" i="12"/>
  <c r="O141" i="12" s="1"/>
  <c r="AA140" i="12"/>
  <c r="N140" i="12" s="1"/>
  <c r="AA142" i="12"/>
  <c r="P142" i="12" s="1"/>
  <c r="AA132" i="12"/>
  <c r="F132" i="12" s="1"/>
  <c r="AA143" i="12"/>
  <c r="Q143" i="12" s="1"/>
  <c r="AA137" i="12"/>
  <c r="K137" i="12" s="1"/>
  <c r="AA148" i="12"/>
  <c r="V148" i="12" s="1"/>
  <c r="W148" i="12" s="1"/>
  <c r="X148" i="12" s="1"/>
  <c r="AA135" i="12"/>
  <c r="I135" i="12" s="1"/>
  <c r="AA146" i="12"/>
  <c r="T146" i="12" s="1"/>
  <c r="AA144" i="12"/>
  <c r="R144" i="12" s="1"/>
  <c r="AA145" i="12"/>
  <c r="S145" i="12" s="1"/>
  <c r="AA134" i="12"/>
  <c r="H134" i="12" s="1"/>
  <c r="AA149" i="12"/>
  <c r="W149" i="12" s="1"/>
  <c r="X149" i="12" s="1"/>
  <c r="AA150" i="12"/>
  <c r="X150" i="12" s="1"/>
  <c r="AA138" i="12"/>
  <c r="L138" i="12" s="1"/>
  <c r="AA79" i="12"/>
  <c r="G79" i="12" s="1"/>
  <c r="AA81" i="12"/>
  <c r="I81" i="12" s="1"/>
  <c r="AA84" i="12"/>
  <c r="L84" i="12" s="1"/>
  <c r="AA82" i="12"/>
  <c r="J82" i="12" s="1"/>
  <c r="AA95" i="12"/>
  <c r="W95" i="12" s="1"/>
  <c r="X95" i="12" s="1"/>
  <c r="AA92" i="12"/>
  <c r="T92" i="12" s="1"/>
  <c r="AA78" i="12"/>
  <c r="F78" i="12" s="1"/>
  <c r="AA87" i="12"/>
  <c r="O87" i="12" s="1"/>
  <c r="AA85" i="12"/>
  <c r="M85" i="12" s="1"/>
  <c r="AA89" i="12"/>
  <c r="Q89" i="12" s="1"/>
  <c r="AA80" i="12"/>
  <c r="H80" i="12" s="1"/>
  <c r="AA83" i="12"/>
  <c r="K83" i="12" s="1"/>
  <c r="AA86" i="12"/>
  <c r="N86" i="12" s="1"/>
  <c r="AA94" i="12"/>
  <c r="V94" i="12" s="1"/>
  <c r="AA91" i="12"/>
  <c r="S91" i="12" s="1"/>
  <c r="AA90" i="12"/>
  <c r="R90" i="12" s="1"/>
  <c r="AA93" i="12"/>
  <c r="U93" i="12" s="1"/>
  <c r="AA88" i="12"/>
  <c r="P88" i="12" s="1"/>
  <c r="AA96" i="12"/>
  <c r="X96" i="12" s="1"/>
  <c r="AA77" i="12"/>
  <c r="E77" i="12" s="1"/>
  <c r="F70" i="12"/>
  <c r="F62" i="1" s="1"/>
  <c r="F26" i="3" s="1"/>
  <c r="E70" i="12"/>
  <c r="E62" i="1" s="1"/>
  <c r="E26" i="3" s="1"/>
  <c r="X16" i="12"/>
  <c r="W24" i="4" s="1"/>
  <c r="W25" i="4" s="1"/>
  <c r="AA176" i="12"/>
  <c r="X176" i="12" s="1"/>
  <c r="AA163" i="12"/>
  <c r="K163" i="12" s="1"/>
  <c r="AA174" i="12"/>
  <c r="V174" i="12" s="1"/>
  <c r="W174" i="12" s="1"/>
  <c r="X174" i="12" s="1"/>
  <c r="AA168" i="12"/>
  <c r="P168" i="12" s="1"/>
  <c r="AA173" i="12"/>
  <c r="U173" i="12" s="1"/>
  <c r="AA159" i="12"/>
  <c r="G159" i="12" s="1"/>
  <c r="AA175" i="12"/>
  <c r="W175" i="12" s="1"/>
  <c r="X175" i="12" s="1"/>
  <c r="AA157" i="12"/>
  <c r="E157" i="12" s="1"/>
  <c r="AA161" i="12"/>
  <c r="I161" i="12" s="1"/>
  <c r="AA160" i="12"/>
  <c r="H160" i="12" s="1"/>
  <c r="AA165" i="12"/>
  <c r="M165" i="12" s="1"/>
  <c r="AA162" i="12"/>
  <c r="J162" i="12" s="1"/>
  <c r="AA169" i="12"/>
  <c r="Q169" i="12" s="1"/>
  <c r="AA164" i="12"/>
  <c r="L164" i="12" s="1"/>
  <c r="AA171" i="12"/>
  <c r="S171" i="12" s="1"/>
  <c r="AA166" i="12"/>
  <c r="N166" i="12" s="1"/>
  <c r="AA170" i="12"/>
  <c r="R170" i="12" s="1"/>
  <c r="AA167" i="12"/>
  <c r="O167" i="12" s="1"/>
  <c r="AA158" i="12"/>
  <c r="F158" i="12" s="1"/>
  <c r="AA172" i="12"/>
  <c r="T172" i="12" s="1"/>
  <c r="W13" i="2"/>
  <c r="N36" i="2"/>
  <c r="O41" i="1"/>
  <c r="M36" i="4" s="1"/>
  <c r="M11" i="2" s="1"/>
  <c r="M48" i="4"/>
  <c r="L54" i="12" l="1"/>
  <c r="H104" i="12"/>
  <c r="U36" i="12"/>
  <c r="V36" i="12" s="1"/>
  <c r="W36" i="12" s="1"/>
  <c r="N109" i="12"/>
  <c r="O109" i="12" s="1"/>
  <c r="S115" i="12"/>
  <c r="T115" i="12" s="1"/>
  <c r="J107" i="12"/>
  <c r="J52" i="12"/>
  <c r="K52" i="12" s="1"/>
  <c r="L52" i="12" s="1"/>
  <c r="R33" i="12"/>
  <c r="S33" i="12" s="1"/>
  <c r="H23" i="12"/>
  <c r="I23" i="12" s="1"/>
  <c r="N28" i="12"/>
  <c r="O28" i="12" s="1"/>
  <c r="P28" i="12" s="1"/>
  <c r="Q28" i="12" s="1"/>
  <c r="F43" i="12"/>
  <c r="F61" i="1" s="1"/>
  <c r="F25" i="3" s="1"/>
  <c r="L27" i="12"/>
  <c r="M27" i="12" s="1"/>
  <c r="N27" i="12" s="1"/>
  <c r="O27" i="12" s="1"/>
  <c r="P58" i="12"/>
  <c r="Q58" i="12" s="1"/>
  <c r="R58" i="12" s="1"/>
  <c r="S58" i="12" s="1"/>
  <c r="O30" i="12"/>
  <c r="P30" i="12" s="1"/>
  <c r="T114" i="12"/>
  <c r="O29" i="12"/>
  <c r="P29" i="12" s="1"/>
  <c r="Q29" i="12" s="1"/>
  <c r="S59" i="12"/>
  <c r="T59" i="12" s="1"/>
  <c r="V63" i="12"/>
  <c r="W63" i="12" s="1"/>
  <c r="O86" i="12"/>
  <c r="V147" i="12"/>
  <c r="W147" i="12" s="1"/>
  <c r="X147" i="12" s="1"/>
  <c r="R169" i="12"/>
  <c r="S169" i="12" s="1"/>
  <c r="V173" i="12"/>
  <c r="W173" i="12" s="1"/>
  <c r="F77" i="12"/>
  <c r="G77" i="12" s="1"/>
  <c r="L83" i="12"/>
  <c r="M83" i="12" s="1"/>
  <c r="N83" i="12" s="1"/>
  <c r="K82" i="12"/>
  <c r="L82" i="12" s="1"/>
  <c r="M82" i="12" s="1"/>
  <c r="T145" i="12"/>
  <c r="U145" i="12" s="1"/>
  <c r="Q142" i="12"/>
  <c r="R142" i="12" s="1"/>
  <c r="S142" i="12" s="1"/>
  <c r="O112" i="12"/>
  <c r="P112" i="12" s="1"/>
  <c r="M54" i="12"/>
  <c r="W118" i="12"/>
  <c r="X118" i="12" s="1"/>
  <c r="X65" i="12"/>
  <c r="J53" i="12"/>
  <c r="W64" i="12"/>
  <c r="X64" i="12" s="1"/>
  <c r="X36" i="12"/>
  <c r="R31" i="12"/>
  <c r="S31" i="12" s="1"/>
  <c r="G132" i="12"/>
  <c r="H132" i="12" s="1"/>
  <c r="Q168" i="12"/>
  <c r="R168" i="12" s="1"/>
  <c r="S168" i="12" s="1"/>
  <c r="I80" i="12"/>
  <c r="J80" i="12" s="1"/>
  <c r="M84" i="12"/>
  <c r="S144" i="12"/>
  <c r="T144" i="12" s="1"/>
  <c r="U144" i="12" s="1"/>
  <c r="O140" i="12"/>
  <c r="P140" i="12" s="1"/>
  <c r="M164" i="12"/>
  <c r="N164" i="12" s="1"/>
  <c r="O164" i="12" s="1"/>
  <c r="P164" i="12" s="1"/>
  <c r="Q88" i="12"/>
  <c r="R88" i="12" s="1"/>
  <c r="S88" i="12" s="1"/>
  <c r="R89" i="12"/>
  <c r="S89" i="12" s="1"/>
  <c r="T89" i="12" s="1"/>
  <c r="J81" i="12"/>
  <c r="U146" i="12"/>
  <c r="V146" i="12" s="1"/>
  <c r="W146" i="12" s="1"/>
  <c r="P141" i="12"/>
  <c r="K108" i="12"/>
  <c r="U172" i="12"/>
  <c r="V172" i="12" s="1"/>
  <c r="W172" i="12" s="1"/>
  <c r="X172" i="12" s="1"/>
  <c r="G158" i="12"/>
  <c r="H158" i="12" s="1"/>
  <c r="P167" i="12"/>
  <c r="Q167" i="12" s="1"/>
  <c r="I160" i="12"/>
  <c r="J160" i="12" s="1"/>
  <c r="L163" i="12"/>
  <c r="M163" i="12" s="1"/>
  <c r="N163" i="12" s="1"/>
  <c r="V93" i="12"/>
  <c r="W93" i="12" s="1"/>
  <c r="X93" i="12" s="1"/>
  <c r="N85" i="12"/>
  <c r="O85" i="12" s="1"/>
  <c r="H79" i="12"/>
  <c r="I79" i="12" s="1"/>
  <c r="J135" i="12"/>
  <c r="K135" i="12" s="1"/>
  <c r="N139" i="12"/>
  <c r="O139" i="12" s="1"/>
  <c r="N26" i="12"/>
  <c r="S34" i="12"/>
  <c r="O57" i="12"/>
  <c r="P57" i="12" s="1"/>
  <c r="K162" i="12"/>
  <c r="L162" i="12" s="1"/>
  <c r="N165" i="12"/>
  <c r="O165" i="12" s="1"/>
  <c r="P165" i="12" s="1"/>
  <c r="S170" i="12"/>
  <c r="J161" i="12"/>
  <c r="K161" i="12" s="1"/>
  <c r="L161" i="12" s="1"/>
  <c r="S90" i="12"/>
  <c r="T90" i="12" s="1"/>
  <c r="P87" i="12"/>
  <c r="M138" i="12"/>
  <c r="N138" i="12" s="1"/>
  <c r="H133" i="12"/>
  <c r="I133" i="12" s="1"/>
  <c r="Q113" i="12"/>
  <c r="R113" i="12" s="1"/>
  <c r="S113" i="12" s="1"/>
  <c r="K25" i="12"/>
  <c r="I104" i="12"/>
  <c r="K106" i="12"/>
  <c r="S60" i="12"/>
  <c r="T60" i="12" s="1"/>
  <c r="N111" i="12"/>
  <c r="J50" i="12"/>
  <c r="H159" i="12"/>
  <c r="I159" i="12" s="1"/>
  <c r="J159" i="12" s="1"/>
  <c r="I134" i="12"/>
  <c r="J134" i="12" s="1"/>
  <c r="K134" i="12" s="1"/>
  <c r="T91" i="12"/>
  <c r="U91" i="12" s="1"/>
  <c r="L137" i="12"/>
  <c r="M137" i="12" s="1"/>
  <c r="F131" i="12"/>
  <c r="G131" i="12" s="1"/>
  <c r="P109" i="12"/>
  <c r="Q109" i="12" s="1"/>
  <c r="N110" i="12"/>
  <c r="T116" i="12"/>
  <c r="U116" i="12" s="1"/>
  <c r="U117" i="12"/>
  <c r="V117" i="12" s="1"/>
  <c r="K24" i="12"/>
  <c r="I51" i="12"/>
  <c r="J51" i="12" s="1"/>
  <c r="I105" i="12"/>
  <c r="J105" i="12" s="1"/>
  <c r="K105" i="12" s="1"/>
  <c r="Q32" i="12"/>
  <c r="R32" i="12" s="1"/>
  <c r="S32" i="12" s="1"/>
  <c r="N56" i="12"/>
  <c r="O56" i="12" s="1"/>
  <c r="O166" i="12"/>
  <c r="F157" i="12"/>
  <c r="G157" i="12" s="1"/>
  <c r="G78" i="12"/>
  <c r="T171" i="12"/>
  <c r="U171" i="12" s="1"/>
  <c r="W94" i="12"/>
  <c r="X94" i="12" s="1"/>
  <c r="U92" i="12"/>
  <c r="V92" i="12" s="1"/>
  <c r="R143" i="12"/>
  <c r="S143" i="12" s="1"/>
  <c r="K136" i="12"/>
  <c r="L136" i="12" s="1"/>
  <c r="T61" i="12"/>
  <c r="U61" i="12" s="1"/>
  <c r="W119" i="12"/>
  <c r="X119" i="12" s="1"/>
  <c r="T35" i="12"/>
  <c r="U35" i="12" s="1"/>
  <c r="V35" i="12" s="1"/>
  <c r="O55" i="12"/>
  <c r="X120" i="12"/>
  <c r="H43" i="2"/>
  <c r="S43" i="2"/>
  <c r="G43" i="2"/>
  <c r="P43" i="2"/>
  <c r="D43" i="2"/>
  <c r="D28" i="4" s="1"/>
  <c r="D58" i="4" s="1"/>
  <c r="E43" i="2"/>
  <c r="E28" i="4" s="1"/>
  <c r="O43" i="2"/>
  <c r="V43" i="2"/>
  <c r="N43" i="2"/>
  <c r="U43" i="2"/>
  <c r="M43" i="2"/>
  <c r="F43" i="2"/>
  <c r="W43" i="2"/>
  <c r="T43" i="2"/>
  <c r="U28" i="4" s="1"/>
  <c r="U58" i="4" s="1"/>
  <c r="L43" i="2"/>
  <c r="R43" i="2"/>
  <c r="J43" i="2"/>
  <c r="Q43" i="2"/>
  <c r="I43" i="2"/>
  <c r="K43" i="2"/>
  <c r="G124" i="12"/>
  <c r="G64" i="1" s="1"/>
  <c r="G28" i="3" s="1"/>
  <c r="U36" i="2"/>
  <c r="U12" i="4"/>
  <c r="W12" i="2"/>
  <c r="W10" i="4" s="1"/>
  <c r="W34" i="2"/>
  <c r="V34" i="2"/>
  <c r="V12" i="4" s="1"/>
  <c r="G70" i="12"/>
  <c r="G62" i="1" s="1"/>
  <c r="G26" i="3" s="1"/>
  <c r="W24" i="2"/>
  <c r="E97" i="12"/>
  <c r="E63" i="1" s="1"/>
  <c r="E27" i="3" s="1"/>
  <c r="E151" i="12"/>
  <c r="E65" i="1" s="1"/>
  <c r="E29" i="3" s="1"/>
  <c r="E177" i="12"/>
  <c r="E66" i="1" s="1"/>
  <c r="E30" i="3" s="1"/>
  <c r="T36" i="2"/>
  <c r="V13" i="2"/>
  <c r="V11" i="4" s="1"/>
  <c r="M49" i="4"/>
  <c r="M50" i="4" s="1"/>
  <c r="N40" i="2"/>
  <c r="O39" i="2"/>
  <c r="M52" i="12" l="1"/>
  <c r="Q140" i="12"/>
  <c r="R140" i="12" s="1"/>
  <c r="S140" i="12" s="1"/>
  <c r="T140" i="12" s="1"/>
  <c r="S28" i="4"/>
  <c r="S58" i="4" s="1"/>
  <c r="H131" i="12"/>
  <c r="T33" i="12"/>
  <c r="U33" i="12" s="1"/>
  <c r="U115" i="12"/>
  <c r="V115" i="12" s="1"/>
  <c r="L135" i="12"/>
  <c r="M135" i="12" s="1"/>
  <c r="U114" i="12"/>
  <c r="V114" i="12" s="1"/>
  <c r="K107" i="12"/>
  <c r="L107" i="12" s="1"/>
  <c r="I28" i="4"/>
  <c r="I58" i="4" s="1"/>
  <c r="M136" i="12"/>
  <c r="H157" i="12"/>
  <c r="I157" i="12" s="1"/>
  <c r="W117" i="12"/>
  <c r="X117" i="12" s="1"/>
  <c r="N137" i="12"/>
  <c r="O137" i="12" s="1"/>
  <c r="P139" i="12"/>
  <c r="Q139" i="12" s="1"/>
  <c r="T143" i="12"/>
  <c r="U143" i="12" s="1"/>
  <c r="V143" i="12" s="1"/>
  <c r="O163" i="12"/>
  <c r="U60" i="12"/>
  <c r="V60" i="12" s="1"/>
  <c r="W60" i="12" s="1"/>
  <c r="X60" i="12" s="1"/>
  <c r="X63" i="12"/>
  <c r="U59" i="12"/>
  <c r="V59" i="12" s="1"/>
  <c r="W59" i="12" s="1"/>
  <c r="X59" i="12" s="1"/>
  <c r="R29" i="12"/>
  <c r="S29" i="12" s="1"/>
  <c r="T29" i="12" s="1"/>
  <c r="U29" i="12" s="1"/>
  <c r="V29" i="12" s="1"/>
  <c r="W29" i="12" s="1"/>
  <c r="X29" i="12" s="1"/>
  <c r="F97" i="12"/>
  <c r="F63" i="1" s="1"/>
  <c r="F27" i="3" s="1"/>
  <c r="J79" i="12"/>
  <c r="K79" i="12" s="1"/>
  <c r="M161" i="12"/>
  <c r="I132" i="12"/>
  <c r="J132" i="12" s="1"/>
  <c r="K132" i="12" s="1"/>
  <c r="H77" i="12"/>
  <c r="L134" i="12"/>
  <c r="M134" i="12" s="1"/>
  <c r="T142" i="12"/>
  <c r="U142" i="12" s="1"/>
  <c r="V142" i="12" s="1"/>
  <c r="J133" i="12"/>
  <c r="V144" i="12"/>
  <c r="W144" i="12" s="1"/>
  <c r="V145" i="12"/>
  <c r="W145" i="12" s="1"/>
  <c r="X145" i="12" s="1"/>
  <c r="M162" i="12"/>
  <c r="N162" i="12" s="1"/>
  <c r="O162" i="12" s="1"/>
  <c r="U90" i="12"/>
  <c r="V90" i="12" s="1"/>
  <c r="R167" i="12"/>
  <c r="S167" i="12" s="1"/>
  <c r="K159" i="12"/>
  <c r="L159" i="12" s="1"/>
  <c r="M159" i="12" s="1"/>
  <c r="V61" i="12"/>
  <c r="W61" i="12" s="1"/>
  <c r="X61" i="12" s="1"/>
  <c r="Q87" i="12"/>
  <c r="R87" i="12" s="1"/>
  <c r="T170" i="12"/>
  <c r="U170" i="12" s="1"/>
  <c r="V170" i="12" s="1"/>
  <c r="T32" i="12"/>
  <c r="U32" i="12" s="1"/>
  <c r="J23" i="12"/>
  <c r="K23" i="12" s="1"/>
  <c r="Q141" i="12"/>
  <c r="T88" i="12"/>
  <c r="U88" i="12" s="1"/>
  <c r="V88" i="12" s="1"/>
  <c r="N84" i="12"/>
  <c r="K80" i="12"/>
  <c r="L80" i="12" s="1"/>
  <c r="N82" i="12"/>
  <c r="O83" i="12"/>
  <c r="P83" i="12" s="1"/>
  <c r="L24" i="12"/>
  <c r="M24" i="12" s="1"/>
  <c r="V116" i="12"/>
  <c r="W116" i="12" s="1"/>
  <c r="X116" i="12" s="1"/>
  <c r="O26" i="12"/>
  <c r="P26" i="12" s="1"/>
  <c r="P27" i="12"/>
  <c r="Q27" i="12" s="1"/>
  <c r="R27" i="12" s="1"/>
  <c r="S27" i="12" s="1"/>
  <c r="T27" i="12" s="1"/>
  <c r="U27" i="12" s="1"/>
  <c r="V27" i="12" s="1"/>
  <c r="W27" i="12" s="1"/>
  <c r="X27" i="12" s="1"/>
  <c r="T58" i="12"/>
  <c r="U58" i="12" s="1"/>
  <c r="V58" i="12" s="1"/>
  <c r="W58" i="12" s="1"/>
  <c r="T31" i="12"/>
  <c r="K51" i="12"/>
  <c r="L51" i="12" s="1"/>
  <c r="M51" i="12" s="1"/>
  <c r="O110" i="12"/>
  <c r="P110" i="12" s="1"/>
  <c r="Q110" i="12" s="1"/>
  <c r="O138" i="12"/>
  <c r="I158" i="12"/>
  <c r="Q57" i="12"/>
  <c r="R57" i="12" s="1"/>
  <c r="X146" i="12"/>
  <c r="U89" i="12"/>
  <c r="V89" i="12" s="1"/>
  <c r="W89" i="12" s="1"/>
  <c r="T169" i="12"/>
  <c r="L25" i="12"/>
  <c r="M25" i="12" s="1"/>
  <c r="M28" i="4"/>
  <c r="M58" i="4" s="1"/>
  <c r="V171" i="12"/>
  <c r="W171" i="12" s="1"/>
  <c r="X171" i="12" s="1"/>
  <c r="K50" i="12"/>
  <c r="L105" i="12"/>
  <c r="M105" i="12" s="1"/>
  <c r="N105" i="12" s="1"/>
  <c r="O105" i="12" s="1"/>
  <c r="Q30" i="12"/>
  <c r="R28" i="12"/>
  <c r="S28" i="12" s="1"/>
  <c r="W92" i="12"/>
  <c r="X92" i="12" s="1"/>
  <c r="R109" i="12"/>
  <c r="S109" i="12" s="1"/>
  <c r="V91" i="12"/>
  <c r="W91" i="12" s="1"/>
  <c r="W35" i="12"/>
  <c r="X35" i="12" s="1"/>
  <c r="Q165" i="12"/>
  <c r="N52" i="12"/>
  <c r="O52" i="12" s="1"/>
  <c r="P86" i="12"/>
  <c r="N136" i="12"/>
  <c r="O136" i="12" s="1"/>
  <c r="H78" i="12"/>
  <c r="P166" i="12"/>
  <c r="Q166" i="12" s="1"/>
  <c r="P55" i="12"/>
  <c r="Q55" i="12" s="1"/>
  <c r="W170" i="12"/>
  <c r="T113" i="12"/>
  <c r="P85" i="12"/>
  <c r="P163" i="12"/>
  <c r="Q163" i="12" s="1"/>
  <c r="R163" i="12" s="1"/>
  <c r="S163" i="12" s="1"/>
  <c r="T163" i="12" s="1"/>
  <c r="U163" i="12" s="1"/>
  <c r="V163" i="12" s="1"/>
  <c r="W163" i="12" s="1"/>
  <c r="X163" i="12" s="1"/>
  <c r="K160" i="12"/>
  <c r="L160" i="12" s="1"/>
  <c r="K81" i="12"/>
  <c r="Q164" i="12"/>
  <c r="R164" i="12" s="1"/>
  <c r="T168" i="12"/>
  <c r="U168" i="12" s="1"/>
  <c r="V168" i="12" s="1"/>
  <c r="I77" i="12"/>
  <c r="J104" i="12"/>
  <c r="K104" i="12" s="1"/>
  <c r="Q112" i="12"/>
  <c r="K53" i="12"/>
  <c r="L53" i="12" s="1"/>
  <c r="P56" i="12"/>
  <c r="T34" i="12"/>
  <c r="U34" i="12" s="1"/>
  <c r="O111" i="12"/>
  <c r="P111" i="12" s="1"/>
  <c r="L106" i="12"/>
  <c r="U140" i="12"/>
  <c r="V140" i="12" s="1"/>
  <c r="W140" i="12" s="1"/>
  <c r="L108" i="12"/>
  <c r="M108" i="12" s="1"/>
  <c r="N108" i="12" s="1"/>
  <c r="N54" i="12"/>
  <c r="X173" i="12"/>
  <c r="L28" i="4"/>
  <c r="L58" i="4" s="1"/>
  <c r="O28" i="4"/>
  <c r="O58" i="4" s="1"/>
  <c r="G28" i="4"/>
  <c r="G58" i="4" s="1"/>
  <c r="H28" i="4"/>
  <c r="V28" i="4"/>
  <c r="V58" i="4" s="1"/>
  <c r="W28" i="4"/>
  <c r="W58" i="4" s="1"/>
  <c r="Q28" i="4"/>
  <c r="Q58" i="4" s="1"/>
  <c r="F28" i="4"/>
  <c r="R28" i="4"/>
  <c r="R58" i="4" s="1"/>
  <c r="J28" i="4"/>
  <c r="J58" i="4" s="1"/>
  <c r="N28" i="4"/>
  <c r="N58" i="4" s="1"/>
  <c r="P28" i="4"/>
  <c r="P58" i="4" s="1"/>
  <c r="K28" i="4"/>
  <c r="K58" i="4" s="1"/>
  <c r="T28" i="4"/>
  <c r="T58" i="4" s="1"/>
  <c r="E58" i="4"/>
  <c r="F177" i="12"/>
  <c r="F66" i="1" s="1"/>
  <c r="F30" i="3" s="1"/>
  <c r="F151" i="12"/>
  <c r="F65" i="1" s="1"/>
  <c r="F29" i="3" s="1"/>
  <c r="W12" i="4"/>
  <c r="W11" i="4"/>
  <c r="I70" i="12"/>
  <c r="I62" i="1" s="1"/>
  <c r="I26" i="3" s="1"/>
  <c r="G43" i="12"/>
  <c r="G61" i="1" s="1"/>
  <c r="G25" i="3" s="1"/>
  <c r="E67" i="1"/>
  <c r="D25" i="2" s="1"/>
  <c r="D26" i="2" s="1"/>
  <c r="W36" i="2"/>
  <c r="N48" i="4"/>
  <c r="P40" i="1"/>
  <c r="Q35" i="1"/>
  <c r="Q38" i="1" s="1"/>
  <c r="P29" i="4" s="1"/>
  <c r="Q83" i="12" l="1"/>
  <c r="N135" i="12"/>
  <c r="O135" i="12" s="1"/>
  <c r="V33" i="12"/>
  <c r="W33" i="12" s="1"/>
  <c r="X33" i="12" s="1"/>
  <c r="I131" i="12"/>
  <c r="S164" i="12"/>
  <c r="T164" i="12" s="1"/>
  <c r="U164" i="12" s="1"/>
  <c r="V164" i="12" s="1"/>
  <c r="W164" i="12" s="1"/>
  <c r="X164" i="12" s="1"/>
  <c r="N134" i="12"/>
  <c r="O134" i="12" s="1"/>
  <c r="M107" i="12"/>
  <c r="N107" i="12" s="1"/>
  <c r="O107" i="12" s="1"/>
  <c r="W114" i="12"/>
  <c r="X114" i="12" s="1"/>
  <c r="W115" i="12"/>
  <c r="X115" i="12" s="1"/>
  <c r="L104" i="12"/>
  <c r="M104" i="12" s="1"/>
  <c r="N104" i="12" s="1"/>
  <c r="O104" i="12" s="1"/>
  <c r="P104" i="12" s="1"/>
  <c r="Q104" i="12" s="1"/>
  <c r="R104" i="12" s="1"/>
  <c r="S104" i="12" s="1"/>
  <c r="T104" i="12" s="1"/>
  <c r="U104" i="12" s="1"/>
  <c r="V104" i="12" s="1"/>
  <c r="W104" i="12" s="1"/>
  <c r="X104" i="12" s="1"/>
  <c r="R139" i="12"/>
  <c r="T167" i="12"/>
  <c r="U167" i="12" s="1"/>
  <c r="V167" i="12" s="1"/>
  <c r="X144" i="12"/>
  <c r="W143" i="12"/>
  <c r="X143" i="12" s="1"/>
  <c r="N51" i="12"/>
  <c r="O51" i="12" s="1"/>
  <c r="P51" i="12" s="1"/>
  <c r="Q51" i="12" s="1"/>
  <c r="R51" i="12" s="1"/>
  <c r="S51" i="12" s="1"/>
  <c r="T51" i="12" s="1"/>
  <c r="U51" i="12" s="1"/>
  <c r="V51" i="12" s="1"/>
  <c r="W51" i="12" s="1"/>
  <c r="X51" i="12" s="1"/>
  <c r="O82" i="12"/>
  <c r="P82" i="12" s="1"/>
  <c r="R110" i="12"/>
  <c r="S110" i="12" s="1"/>
  <c r="T110" i="12" s="1"/>
  <c r="U110" i="12" s="1"/>
  <c r="V110" i="12" s="1"/>
  <c r="W110" i="12" s="1"/>
  <c r="X110" i="12" s="1"/>
  <c r="L23" i="12"/>
  <c r="M23" i="12" s="1"/>
  <c r="N23" i="12" s="1"/>
  <c r="O23" i="12" s="1"/>
  <c r="P23" i="12" s="1"/>
  <c r="Q23" i="12" s="1"/>
  <c r="R23" i="12" s="1"/>
  <c r="S23" i="12" s="1"/>
  <c r="T23" i="12" s="1"/>
  <c r="U23" i="12" s="1"/>
  <c r="V23" i="12" s="1"/>
  <c r="W23" i="12" s="1"/>
  <c r="X23" i="12" s="1"/>
  <c r="P136" i="12"/>
  <c r="Q136" i="12" s="1"/>
  <c r="R136" i="12" s="1"/>
  <c r="P52" i="12"/>
  <c r="Q52" i="12" s="1"/>
  <c r="Q56" i="12"/>
  <c r="X58" i="12"/>
  <c r="Q111" i="12"/>
  <c r="R111" i="12" s="1"/>
  <c r="P105" i="12"/>
  <c r="Q105" i="12" s="1"/>
  <c r="R105" i="12" s="1"/>
  <c r="S105" i="12" s="1"/>
  <c r="T105" i="12" s="1"/>
  <c r="U105" i="12" s="1"/>
  <c r="V105" i="12" s="1"/>
  <c r="W105" i="12" s="1"/>
  <c r="N25" i="12"/>
  <c r="O25" i="12" s="1"/>
  <c r="P25" i="12" s="1"/>
  <c r="Q25" i="12" s="1"/>
  <c r="R25" i="12" s="1"/>
  <c r="S25" i="12" s="1"/>
  <c r="T25" i="12" s="1"/>
  <c r="U25" i="12" s="1"/>
  <c r="V25" i="12" s="1"/>
  <c r="W25" i="12" s="1"/>
  <c r="X25" i="12" s="1"/>
  <c r="L81" i="12"/>
  <c r="U113" i="12"/>
  <c r="V113" i="12" s="1"/>
  <c r="W113" i="12" s="1"/>
  <c r="Q86" i="12"/>
  <c r="R86" i="12" s="1"/>
  <c r="L50" i="12"/>
  <c r="T109" i="12"/>
  <c r="U109" i="12" s="1"/>
  <c r="V109" i="12" s="1"/>
  <c r="W109" i="12" s="1"/>
  <c r="X109" i="12" s="1"/>
  <c r="X89" i="12"/>
  <c r="V34" i="12"/>
  <c r="W34" i="12" s="1"/>
  <c r="L132" i="12"/>
  <c r="M132" i="12" s="1"/>
  <c r="R112" i="12"/>
  <c r="S112" i="12" s="1"/>
  <c r="M106" i="12"/>
  <c r="N106" i="12" s="1"/>
  <c r="R55" i="12"/>
  <c r="S55" i="12" s="1"/>
  <c r="T55" i="12" s="1"/>
  <c r="U55" i="12" s="1"/>
  <c r="V55" i="12" s="1"/>
  <c r="W55" i="12" s="1"/>
  <c r="X55" i="12" s="1"/>
  <c r="J157" i="12"/>
  <c r="K157" i="12" s="1"/>
  <c r="R165" i="12"/>
  <c r="S165" i="12" s="1"/>
  <c r="T165" i="12" s="1"/>
  <c r="U165" i="12" s="1"/>
  <c r="V165" i="12" s="1"/>
  <c r="W165" i="12" s="1"/>
  <c r="X165" i="12" s="1"/>
  <c r="U169" i="12"/>
  <c r="V169" i="12" s="1"/>
  <c r="P138" i="12"/>
  <c r="Q138" i="12" s="1"/>
  <c r="R138" i="12" s="1"/>
  <c r="T28" i="12"/>
  <c r="U28" i="12" s="1"/>
  <c r="V28" i="12" s="1"/>
  <c r="W28" i="12" s="1"/>
  <c r="X28" i="12" s="1"/>
  <c r="P162" i="12"/>
  <c r="K133" i="12"/>
  <c r="L133" i="12" s="1"/>
  <c r="J77" i="12"/>
  <c r="K77" i="12" s="1"/>
  <c r="R83" i="12"/>
  <c r="S83" i="12" s="1"/>
  <c r="T83" i="12" s="1"/>
  <c r="U83" i="12" s="1"/>
  <c r="V83" i="12" s="1"/>
  <c r="W83" i="12" s="1"/>
  <c r="X83" i="12" s="1"/>
  <c r="P135" i="12"/>
  <c r="Q135" i="12" s="1"/>
  <c r="P137" i="12"/>
  <c r="M160" i="12"/>
  <c r="N160" i="12" s="1"/>
  <c r="R141" i="12"/>
  <c r="S141" i="12" s="1"/>
  <c r="T141" i="12" s="1"/>
  <c r="W90" i="12"/>
  <c r="X90" i="12" s="1"/>
  <c r="Q85" i="12"/>
  <c r="P134" i="12"/>
  <c r="Q134" i="12" s="1"/>
  <c r="R134" i="12" s="1"/>
  <c r="S134" i="12" s="1"/>
  <c r="T134" i="12" s="1"/>
  <c r="U134" i="12" s="1"/>
  <c r="V134" i="12" s="1"/>
  <c r="W134" i="12" s="1"/>
  <c r="X134" i="12" s="1"/>
  <c r="X140" i="12"/>
  <c r="R166" i="12"/>
  <c r="S166" i="12" s="1"/>
  <c r="O108" i="12"/>
  <c r="P108" i="12" s="1"/>
  <c r="U31" i="12"/>
  <c r="V31" i="12" s="1"/>
  <c r="S87" i="12"/>
  <c r="N161" i="12"/>
  <c r="O54" i="12"/>
  <c r="P54" i="12" s="1"/>
  <c r="Q54" i="12" s="1"/>
  <c r="W168" i="12"/>
  <c r="X168" i="12" s="1"/>
  <c r="J158" i="12"/>
  <c r="O84" i="12"/>
  <c r="P84" i="12" s="1"/>
  <c r="Q84" i="12" s="1"/>
  <c r="R84" i="12" s="1"/>
  <c r="S84" i="12" s="1"/>
  <c r="T84" i="12" s="1"/>
  <c r="W88" i="12"/>
  <c r="X88" i="12" s="1"/>
  <c r="N24" i="12"/>
  <c r="M80" i="12"/>
  <c r="N159" i="12"/>
  <c r="W142" i="12"/>
  <c r="X142" i="12" s="1"/>
  <c r="X170" i="12"/>
  <c r="M53" i="12"/>
  <c r="N53" i="12" s="1"/>
  <c r="L79" i="12"/>
  <c r="R30" i="12"/>
  <c r="S30" i="12" s="1"/>
  <c r="T30" i="12" s="1"/>
  <c r="U30" i="12" s="1"/>
  <c r="S57" i="12"/>
  <c r="T57" i="12" s="1"/>
  <c r="U57" i="12" s="1"/>
  <c r="V57" i="12" s="1"/>
  <c r="W57" i="12" s="1"/>
  <c r="X57" i="12" s="1"/>
  <c r="Q26" i="12"/>
  <c r="R26" i="12" s="1"/>
  <c r="S26" i="12" s="1"/>
  <c r="T26" i="12" s="1"/>
  <c r="U26" i="12" s="1"/>
  <c r="V26" i="12" s="1"/>
  <c r="W26" i="12" s="1"/>
  <c r="X26" i="12" s="1"/>
  <c r="I78" i="12"/>
  <c r="J78" i="12" s="1"/>
  <c r="K78" i="12" s="1"/>
  <c r="V32" i="12"/>
  <c r="W32" i="12" s="1"/>
  <c r="X32" i="12" s="1"/>
  <c r="X91" i="12"/>
  <c r="H58" i="4"/>
  <c r="F58" i="4"/>
  <c r="I124" i="12"/>
  <c r="I64" i="1" s="1"/>
  <c r="I28" i="3" s="1"/>
  <c r="H124" i="12"/>
  <c r="H64" i="1" s="1"/>
  <c r="H28" i="3" s="1"/>
  <c r="J70" i="12"/>
  <c r="J62" i="1" s="1"/>
  <c r="J26" i="3" s="1"/>
  <c r="H70" i="12"/>
  <c r="H62" i="1" s="1"/>
  <c r="H26" i="3" s="1"/>
  <c r="G151" i="12"/>
  <c r="G65" i="1" s="1"/>
  <c r="G29" i="3" s="1"/>
  <c r="F67" i="1"/>
  <c r="F31" i="3" s="1"/>
  <c r="E9" i="4" s="1"/>
  <c r="P44" i="4"/>
  <c r="P36" i="3"/>
  <c r="O43" i="4" s="1"/>
  <c r="P34" i="3"/>
  <c r="H151" i="12"/>
  <c r="H65" i="1" s="1"/>
  <c r="H29" i="3" s="1"/>
  <c r="E31" i="3"/>
  <c r="D9" i="4" s="1"/>
  <c r="J43" i="12"/>
  <c r="J61" i="1" s="1"/>
  <c r="J25" i="3" s="1"/>
  <c r="I43" i="12"/>
  <c r="I61" i="1" s="1"/>
  <c r="I25" i="3" s="1"/>
  <c r="H43" i="12"/>
  <c r="H61" i="1" s="1"/>
  <c r="H25" i="3" s="1"/>
  <c r="G97" i="12"/>
  <c r="G63" i="1" s="1"/>
  <c r="G27" i="3" s="1"/>
  <c r="G177" i="12"/>
  <c r="G66" i="1" s="1"/>
  <c r="G30" i="3" s="1"/>
  <c r="V36" i="2"/>
  <c r="N49" i="4"/>
  <c r="N50" i="4" s="1"/>
  <c r="P41" i="1"/>
  <c r="N36" i="4" s="1"/>
  <c r="O40" i="2"/>
  <c r="P39" i="2"/>
  <c r="T112" i="12" l="1"/>
  <c r="U112" i="12" s="1"/>
  <c r="W167" i="12"/>
  <c r="X167" i="12" s="1"/>
  <c r="S111" i="12"/>
  <c r="T111" i="12" s="1"/>
  <c r="U111" i="12" s="1"/>
  <c r="V111" i="12" s="1"/>
  <c r="W111" i="12" s="1"/>
  <c r="X111" i="12" s="1"/>
  <c r="O106" i="12"/>
  <c r="P106" i="12" s="1"/>
  <c r="P107" i="12"/>
  <c r="J131" i="12"/>
  <c r="K131" i="12" s="1"/>
  <c r="L131" i="12" s="1"/>
  <c r="L157" i="12"/>
  <c r="M157" i="12" s="1"/>
  <c r="Q107" i="12"/>
  <c r="R107" i="12" s="1"/>
  <c r="S107" i="12" s="1"/>
  <c r="M133" i="12"/>
  <c r="N133" i="12" s="1"/>
  <c r="O133" i="12" s="1"/>
  <c r="X105" i="12"/>
  <c r="S139" i="12"/>
  <c r="T139" i="12" s="1"/>
  <c r="U139" i="12" s="1"/>
  <c r="S138" i="12"/>
  <c r="V112" i="12"/>
  <c r="W112" i="12" s="1"/>
  <c r="X112" i="12" s="1"/>
  <c r="R54" i="12"/>
  <c r="S54" i="12" s="1"/>
  <c r="T54" i="12" s="1"/>
  <c r="U54" i="12" s="1"/>
  <c r="V54" i="12" s="1"/>
  <c r="W54" i="12" s="1"/>
  <c r="X54" i="12" s="1"/>
  <c r="X34" i="12"/>
  <c r="Q82" i="12"/>
  <c r="R82" i="12" s="1"/>
  <c r="S86" i="12"/>
  <c r="L77" i="12"/>
  <c r="M77" i="12" s="1"/>
  <c r="R52" i="12"/>
  <c r="S52" i="12" s="1"/>
  <c r="O160" i="12"/>
  <c r="P160" i="12" s="1"/>
  <c r="Q160" i="12" s="1"/>
  <c r="R160" i="12" s="1"/>
  <c r="S160" i="12" s="1"/>
  <c r="T160" i="12" s="1"/>
  <c r="T138" i="12"/>
  <c r="U138" i="12"/>
  <c r="V138" i="12" s="1"/>
  <c r="W138" i="12" s="1"/>
  <c r="O159" i="12"/>
  <c r="P159" i="12" s="1"/>
  <c r="Q159" i="12" s="1"/>
  <c r="R159" i="12" s="1"/>
  <c r="S159" i="12" s="1"/>
  <c r="T159" i="12" s="1"/>
  <c r="U159" i="12" s="1"/>
  <c r="V159" i="12" s="1"/>
  <c r="W159" i="12" s="1"/>
  <c r="X159" i="12" s="1"/>
  <c r="V30" i="12"/>
  <c r="W30" i="12" s="1"/>
  <c r="X30" i="12" s="1"/>
  <c r="U141" i="12"/>
  <c r="V141" i="12" s="1"/>
  <c r="W141" i="12" s="1"/>
  <c r="X141" i="12" s="1"/>
  <c r="N80" i="12"/>
  <c r="O80" i="12" s="1"/>
  <c r="P80" i="12" s="1"/>
  <c r="Q80" i="12" s="1"/>
  <c r="R80" i="12" s="1"/>
  <c r="S80" i="12" s="1"/>
  <c r="T80" i="12" s="1"/>
  <c r="U80" i="12" s="1"/>
  <c r="V80" i="12" s="1"/>
  <c r="W80" i="12" s="1"/>
  <c r="X80" i="12" s="1"/>
  <c r="W31" i="12"/>
  <c r="X31" i="12" s="1"/>
  <c r="M50" i="12"/>
  <c r="X113" i="12"/>
  <c r="Q137" i="12"/>
  <c r="O24" i="12"/>
  <c r="M79" i="12"/>
  <c r="N79" i="12" s="1"/>
  <c r="O79" i="12" s="1"/>
  <c r="P79" i="12" s="1"/>
  <c r="Q79" i="12" s="1"/>
  <c r="R79" i="12" s="1"/>
  <c r="S79" i="12" s="1"/>
  <c r="T79" i="12" s="1"/>
  <c r="U79" i="12" s="1"/>
  <c r="V79" i="12" s="1"/>
  <c r="W79" i="12" s="1"/>
  <c r="X79" i="12" s="1"/>
  <c r="R135" i="12"/>
  <c r="S135" i="12" s="1"/>
  <c r="T135" i="12" s="1"/>
  <c r="U135" i="12" s="1"/>
  <c r="V135" i="12" s="1"/>
  <c r="W135" i="12" s="1"/>
  <c r="X135" i="12" s="1"/>
  <c r="T166" i="12"/>
  <c r="U166" i="12" s="1"/>
  <c r="T87" i="12"/>
  <c r="U87" i="12" s="1"/>
  <c r="V87" i="12" s="1"/>
  <c r="W87" i="12" s="1"/>
  <c r="X87" i="12" s="1"/>
  <c r="M81" i="12"/>
  <c r="K158" i="12"/>
  <c r="L158" i="12" s="1"/>
  <c r="L78" i="12"/>
  <c r="M78" i="12" s="1"/>
  <c r="O53" i="12"/>
  <c r="P53" i="12" s="1"/>
  <c r="Q53" i="12" s="1"/>
  <c r="R53" i="12" s="1"/>
  <c r="S53" i="12" s="1"/>
  <c r="T53" i="12" s="1"/>
  <c r="U53" i="12" s="1"/>
  <c r="V53" i="12" s="1"/>
  <c r="W53" i="12" s="1"/>
  <c r="X53" i="12" s="1"/>
  <c r="U84" i="12"/>
  <c r="V84" i="12" s="1"/>
  <c r="W84" i="12" s="1"/>
  <c r="X84" i="12" s="1"/>
  <c r="O161" i="12"/>
  <c r="P161" i="12" s="1"/>
  <c r="S136" i="12"/>
  <c r="T136" i="12" s="1"/>
  <c r="N132" i="12"/>
  <c r="O132" i="12" s="1"/>
  <c r="P132" i="12" s="1"/>
  <c r="Q132" i="12" s="1"/>
  <c r="R132" i="12" s="1"/>
  <c r="S132" i="12" s="1"/>
  <c r="T132" i="12" s="1"/>
  <c r="U132" i="12" s="1"/>
  <c r="V132" i="12" s="1"/>
  <c r="W132" i="12" s="1"/>
  <c r="X132" i="12" s="1"/>
  <c r="R85" i="12"/>
  <c r="S85" i="12" s="1"/>
  <c r="Q108" i="12"/>
  <c r="R108" i="12" s="1"/>
  <c r="S108" i="12" s="1"/>
  <c r="T108" i="12" s="1"/>
  <c r="U108" i="12" s="1"/>
  <c r="V108" i="12" s="1"/>
  <c r="W108" i="12" s="1"/>
  <c r="X108" i="12" s="1"/>
  <c r="Q162" i="12"/>
  <c r="R162" i="12" s="1"/>
  <c r="W169" i="12"/>
  <c r="X169" i="12" s="1"/>
  <c r="T86" i="12"/>
  <c r="R56" i="12"/>
  <c r="S56" i="12" s="1"/>
  <c r="T56" i="12" s="1"/>
  <c r="U56" i="12" s="1"/>
  <c r="V56" i="12" s="1"/>
  <c r="W56" i="12" s="1"/>
  <c r="L70" i="12"/>
  <c r="L62" i="1" s="1"/>
  <c r="L26" i="3" s="1"/>
  <c r="J124" i="12"/>
  <c r="J64" i="1" s="1"/>
  <c r="J28" i="3" s="1"/>
  <c r="F38" i="3"/>
  <c r="F39" i="3" s="1"/>
  <c r="F41" i="3" s="1"/>
  <c r="F42" i="3" s="1"/>
  <c r="E25" i="2"/>
  <c r="E26" i="2" s="1"/>
  <c r="N11" i="2"/>
  <c r="E38" i="3"/>
  <c r="E39" i="3" s="1"/>
  <c r="E41" i="3" s="1"/>
  <c r="E42" i="3" s="1"/>
  <c r="D8" i="4" s="1"/>
  <c r="D13" i="4" s="1"/>
  <c r="C96" i="14" s="1"/>
  <c r="C98" i="14" s="1"/>
  <c r="G67" i="1"/>
  <c r="K43" i="12"/>
  <c r="K61" i="1" s="1"/>
  <c r="K25" i="3" s="1"/>
  <c r="I97" i="12"/>
  <c r="I63" i="1" s="1"/>
  <c r="I27" i="3" s="1"/>
  <c r="H97" i="12"/>
  <c r="H63" i="1" s="1"/>
  <c r="H27" i="3" s="1"/>
  <c r="K70" i="12"/>
  <c r="K62" i="1" s="1"/>
  <c r="K26" i="3" s="1"/>
  <c r="I151" i="12"/>
  <c r="I65" i="1" s="1"/>
  <c r="I29" i="3" s="1"/>
  <c r="J151" i="12"/>
  <c r="J65" i="1" s="1"/>
  <c r="J29" i="3" s="1"/>
  <c r="I177" i="12"/>
  <c r="I66" i="1" s="1"/>
  <c r="I30" i="3" s="1"/>
  <c r="H177" i="12"/>
  <c r="H66" i="1" s="1"/>
  <c r="H30" i="3" s="1"/>
  <c r="P40" i="2"/>
  <c r="O49" i="4"/>
  <c r="R35" i="1"/>
  <c r="R38" i="1" s="1"/>
  <c r="Q29" i="4" s="1"/>
  <c r="Q40" i="1"/>
  <c r="Q106" i="12" l="1"/>
  <c r="R106" i="12" s="1"/>
  <c r="S106" i="12" s="1"/>
  <c r="N157" i="12"/>
  <c r="Q161" i="12"/>
  <c r="R161" i="12" s="1"/>
  <c r="S161" i="12" s="1"/>
  <c r="T161" i="12" s="1"/>
  <c r="U161" i="12" s="1"/>
  <c r="V161" i="12" s="1"/>
  <c r="W161" i="12" s="1"/>
  <c r="X161" i="12" s="1"/>
  <c r="M131" i="12"/>
  <c r="N131" i="12" s="1"/>
  <c r="O131" i="12" s="1"/>
  <c r="P131" i="12" s="1"/>
  <c r="Q131" i="12" s="1"/>
  <c r="R131" i="12" s="1"/>
  <c r="S131" i="12" s="1"/>
  <c r="T131" i="12" s="1"/>
  <c r="U131" i="12" s="1"/>
  <c r="V131" i="12" s="1"/>
  <c r="W131" i="12" s="1"/>
  <c r="X131" i="12" s="1"/>
  <c r="P133" i="12"/>
  <c r="Q133" i="12" s="1"/>
  <c r="R133" i="12" s="1"/>
  <c r="S133" i="12" s="1"/>
  <c r="T133" i="12" s="1"/>
  <c r="U133" i="12" s="1"/>
  <c r="V133" i="12" s="1"/>
  <c r="W133" i="12" s="1"/>
  <c r="X133" i="12" s="1"/>
  <c r="O157" i="12"/>
  <c r="P157" i="12" s="1"/>
  <c r="T107" i="12"/>
  <c r="U107" i="12" s="1"/>
  <c r="V107" i="12" s="1"/>
  <c r="W107" i="12" s="1"/>
  <c r="U136" i="12"/>
  <c r="V136" i="12" s="1"/>
  <c r="W136" i="12" s="1"/>
  <c r="X136" i="12" s="1"/>
  <c r="V139" i="12"/>
  <c r="W139" i="12" s="1"/>
  <c r="X139" i="12" s="1"/>
  <c r="X138" i="12"/>
  <c r="Q157" i="12"/>
  <c r="R157" i="12" s="1"/>
  <c r="S157" i="12" s="1"/>
  <c r="T157" i="12" s="1"/>
  <c r="U157" i="12" s="1"/>
  <c r="V157" i="12" s="1"/>
  <c r="W157" i="12" s="1"/>
  <c r="X157" i="12" s="1"/>
  <c r="T52" i="12"/>
  <c r="U52" i="12" s="1"/>
  <c r="V52" i="12" s="1"/>
  <c r="W52" i="12" s="1"/>
  <c r="X52" i="12" s="1"/>
  <c r="S82" i="12"/>
  <c r="T82" i="12" s="1"/>
  <c r="U82" i="12" s="1"/>
  <c r="V82" i="12" s="1"/>
  <c r="W82" i="12" s="1"/>
  <c r="X82" i="12" s="1"/>
  <c r="N77" i="12"/>
  <c r="O77" i="12" s="1"/>
  <c r="P77" i="12" s="1"/>
  <c r="T85" i="12"/>
  <c r="U85" i="12" s="1"/>
  <c r="V85" i="12" s="1"/>
  <c r="M158" i="12"/>
  <c r="S162" i="12"/>
  <c r="T162" i="12" s="1"/>
  <c r="U162" i="12" s="1"/>
  <c r="V162" i="12" s="1"/>
  <c r="W162" i="12" s="1"/>
  <c r="X162" i="12" s="1"/>
  <c r="N78" i="12"/>
  <c r="O78" i="12" s="1"/>
  <c r="P78" i="12" s="1"/>
  <c r="N50" i="12"/>
  <c r="O50" i="12" s="1"/>
  <c r="P50" i="12" s="1"/>
  <c r="Q50" i="12" s="1"/>
  <c r="R50" i="12" s="1"/>
  <c r="S50" i="12" s="1"/>
  <c r="T50" i="12" s="1"/>
  <c r="U50" i="12" s="1"/>
  <c r="V50" i="12" s="1"/>
  <c r="W50" i="12" s="1"/>
  <c r="X50" i="12" s="1"/>
  <c r="U160" i="12"/>
  <c r="V160" i="12" s="1"/>
  <c r="W160" i="12" s="1"/>
  <c r="X160" i="12" s="1"/>
  <c r="P24" i="12"/>
  <c r="Q24" i="12" s="1"/>
  <c r="R24" i="12" s="1"/>
  <c r="S24" i="12" s="1"/>
  <c r="T24" i="12" s="1"/>
  <c r="U24" i="12" s="1"/>
  <c r="V24" i="12" s="1"/>
  <c r="W24" i="12" s="1"/>
  <c r="X24" i="12" s="1"/>
  <c r="V166" i="12"/>
  <c r="W166" i="12" s="1"/>
  <c r="X166" i="12" s="1"/>
  <c r="N81" i="12"/>
  <c r="U86" i="12"/>
  <c r="V86" i="12" s="1"/>
  <c r="W86" i="12" s="1"/>
  <c r="X86" i="12" s="1"/>
  <c r="X56" i="12"/>
  <c r="R137" i="12"/>
  <c r="S137" i="12" s="1"/>
  <c r="T137" i="12" s="1"/>
  <c r="U137" i="12" s="1"/>
  <c r="V137" i="12" s="1"/>
  <c r="W137" i="12" s="1"/>
  <c r="X137" i="12" s="1"/>
  <c r="L124" i="12"/>
  <c r="L64" i="1" s="1"/>
  <c r="L28" i="3" s="1"/>
  <c r="F25" i="2"/>
  <c r="F26" i="2" s="1"/>
  <c r="E8" i="4"/>
  <c r="E13" i="4" s="1"/>
  <c r="Q44" i="4"/>
  <c r="Q36" i="3"/>
  <c r="P43" i="4" s="1"/>
  <c r="P48" i="4" s="1"/>
  <c r="Q34" i="3"/>
  <c r="H67" i="1"/>
  <c r="H31" i="3" s="1"/>
  <c r="G9" i="4" s="1"/>
  <c r="G31" i="3"/>
  <c r="F9" i="4" s="1"/>
  <c r="I67" i="1"/>
  <c r="I31" i="3" s="1"/>
  <c r="H9" i="4" s="1"/>
  <c r="L43" i="12"/>
  <c r="L61" i="1" s="1"/>
  <c r="L25" i="3" s="1"/>
  <c r="J97" i="12"/>
  <c r="J63" i="1" s="1"/>
  <c r="J27" i="3" s="1"/>
  <c r="M70" i="12"/>
  <c r="M62" i="1" s="1"/>
  <c r="M26" i="3" s="1"/>
  <c r="K151" i="12"/>
  <c r="K65" i="1" s="1"/>
  <c r="K29" i="3" s="1"/>
  <c r="K177" i="12"/>
  <c r="K66" i="1" s="1"/>
  <c r="K30" i="3" s="1"/>
  <c r="J177" i="12"/>
  <c r="J66" i="1" s="1"/>
  <c r="J30" i="3" s="1"/>
  <c r="P49" i="4"/>
  <c r="O48" i="4"/>
  <c r="O50" i="4" s="1"/>
  <c r="Q41" i="1"/>
  <c r="O36" i="4" s="1"/>
  <c r="O11" i="2" s="1"/>
  <c r="Q39" i="2"/>
  <c r="T106" i="12" l="1"/>
  <c r="U106" i="12" s="1"/>
  <c r="V106" i="12" s="1"/>
  <c r="W106" i="12" s="1"/>
  <c r="X106" i="12" s="1"/>
  <c r="N158" i="12"/>
  <c r="O158" i="12" s="1"/>
  <c r="X107" i="12"/>
  <c r="Q77" i="12"/>
  <c r="R77" i="12" s="1"/>
  <c r="S77" i="12" s="1"/>
  <c r="T77" i="12" s="1"/>
  <c r="U77" i="12" s="1"/>
  <c r="V77" i="12" s="1"/>
  <c r="W77" i="12" s="1"/>
  <c r="X77" i="12" s="1"/>
  <c r="Q78" i="12"/>
  <c r="R78" i="12" s="1"/>
  <c r="S78" i="12" s="1"/>
  <c r="T78" i="12" s="1"/>
  <c r="U78" i="12" s="1"/>
  <c r="V78" i="12" s="1"/>
  <c r="W78" i="12" s="1"/>
  <c r="X78" i="12" s="1"/>
  <c r="O81" i="12"/>
  <c r="P81" i="12" s="1"/>
  <c r="Q81" i="12" s="1"/>
  <c r="R81" i="12" s="1"/>
  <c r="S81" i="12" s="1"/>
  <c r="T81" i="12" s="1"/>
  <c r="U81" i="12" s="1"/>
  <c r="V81" i="12" s="1"/>
  <c r="W81" i="12" s="1"/>
  <c r="X81" i="12" s="1"/>
  <c r="W85" i="12"/>
  <c r="X85" i="12" s="1"/>
  <c r="M124" i="12"/>
  <c r="M64" i="1" s="1"/>
  <c r="M28" i="3" s="1"/>
  <c r="K124" i="12"/>
  <c r="K64" i="1" s="1"/>
  <c r="K28" i="3" s="1"/>
  <c r="G25" i="2"/>
  <c r="G26" i="2" s="1"/>
  <c r="H38" i="3"/>
  <c r="H39" i="3" s="1"/>
  <c r="H41" i="3" s="1"/>
  <c r="H42" i="3" s="1"/>
  <c r="G8" i="4" s="1"/>
  <c r="G13" i="4" s="1"/>
  <c r="J67" i="1"/>
  <c r="J31" i="3" s="1"/>
  <c r="I9" i="4" s="1"/>
  <c r="I38" i="3"/>
  <c r="I39" i="3" s="1"/>
  <c r="I41" i="3" s="1"/>
  <c r="G38" i="3"/>
  <c r="G39" i="3" s="1"/>
  <c r="G41" i="3" s="1"/>
  <c r="M43" i="12"/>
  <c r="M61" i="1" s="1"/>
  <c r="M25" i="3" s="1"/>
  <c r="N70" i="12"/>
  <c r="N62" i="1" s="1"/>
  <c r="N26" i="3" s="1"/>
  <c r="O70" i="12"/>
  <c r="O62" i="1" s="1"/>
  <c r="O26" i="3" s="1"/>
  <c r="L151" i="12"/>
  <c r="L65" i="1" s="1"/>
  <c r="L29" i="3" s="1"/>
  <c r="K97" i="12"/>
  <c r="K63" i="1" s="1"/>
  <c r="K27" i="3" s="1"/>
  <c r="Q40" i="2"/>
  <c r="P50" i="4"/>
  <c r="S35" i="1"/>
  <c r="S38" i="1" s="1"/>
  <c r="R29" i="4" s="1"/>
  <c r="R40" i="1"/>
  <c r="P158" i="12" l="1"/>
  <c r="Q158" i="12" s="1"/>
  <c r="R158" i="12" s="1"/>
  <c r="S158" i="12" s="1"/>
  <c r="T158" i="12" s="1"/>
  <c r="U158" i="12" s="1"/>
  <c r="V158" i="12" s="1"/>
  <c r="W158" i="12" s="1"/>
  <c r="X158" i="12" s="1"/>
  <c r="N124" i="12"/>
  <c r="N64" i="1" s="1"/>
  <c r="N28" i="3" s="1"/>
  <c r="H25" i="2"/>
  <c r="H26" i="2" s="1"/>
  <c r="R44" i="4"/>
  <c r="J38" i="3"/>
  <c r="J39" i="3" s="1"/>
  <c r="J41" i="3" s="1"/>
  <c r="R36" i="3"/>
  <c r="Q43" i="4" s="1"/>
  <c r="Q48" i="4" s="1"/>
  <c r="R34" i="3"/>
  <c r="K67" i="1"/>
  <c r="K31" i="3" s="1"/>
  <c r="I42" i="3"/>
  <c r="G42" i="3"/>
  <c r="F8" i="4" s="1"/>
  <c r="F13" i="4" s="1"/>
  <c r="O43" i="12"/>
  <c r="O61" i="1" s="1"/>
  <c r="O25" i="3" s="1"/>
  <c r="M151" i="12"/>
  <c r="M65" i="1" s="1"/>
  <c r="M29" i="3" s="1"/>
  <c r="M97" i="12"/>
  <c r="M63" i="1" s="1"/>
  <c r="M27" i="3" s="1"/>
  <c r="L97" i="12"/>
  <c r="L63" i="1" s="1"/>
  <c r="L27" i="3" s="1"/>
  <c r="L177" i="12"/>
  <c r="L66" i="1" s="1"/>
  <c r="L30" i="3" s="1"/>
  <c r="Q49" i="4"/>
  <c r="R41" i="1"/>
  <c r="P36" i="4" s="1"/>
  <c r="P11" i="2" s="1"/>
  <c r="R39" i="2"/>
  <c r="I25" i="2" l="1"/>
  <c r="I26" i="2" s="1"/>
  <c r="O124" i="12"/>
  <c r="O64" i="1" s="1"/>
  <c r="O28" i="3" s="1"/>
  <c r="P70" i="12"/>
  <c r="P62" i="1" s="1"/>
  <c r="P26" i="3" s="1"/>
  <c r="J42" i="3"/>
  <c r="I8" i="4" s="1"/>
  <c r="I13" i="4" s="1"/>
  <c r="K38" i="3"/>
  <c r="K39" i="3" s="1"/>
  <c r="K41" i="3" s="1"/>
  <c r="K42" i="3" s="1"/>
  <c r="J9" i="4"/>
  <c r="H8" i="4"/>
  <c r="H13" i="4" s="1"/>
  <c r="P43" i="12"/>
  <c r="P61" i="1" s="1"/>
  <c r="P25" i="3" s="1"/>
  <c r="N43" i="12"/>
  <c r="N61" i="1" s="1"/>
  <c r="N25" i="3" s="1"/>
  <c r="N97" i="12"/>
  <c r="N63" i="1" s="1"/>
  <c r="N27" i="3" s="1"/>
  <c r="L67" i="1"/>
  <c r="L31" i="3" s="1"/>
  <c r="K9" i="4" s="1"/>
  <c r="O97" i="12"/>
  <c r="O63" i="1" s="1"/>
  <c r="O27" i="3" s="1"/>
  <c r="N151" i="12"/>
  <c r="N65" i="1" s="1"/>
  <c r="N29" i="3" s="1"/>
  <c r="Q70" i="12"/>
  <c r="Q62" i="1" s="1"/>
  <c r="Q26" i="3" s="1"/>
  <c r="M177" i="12"/>
  <c r="M66" i="1" s="1"/>
  <c r="M30" i="3" s="1"/>
  <c r="Q50" i="4"/>
  <c r="R40" i="2"/>
  <c r="T35" i="1"/>
  <c r="T38" i="1" s="1"/>
  <c r="S29" i="4" s="1"/>
  <c r="S40" i="1"/>
  <c r="D48" i="4"/>
  <c r="D50" i="4" s="1"/>
  <c r="J25" i="2" l="1"/>
  <c r="J26" i="2" s="1"/>
  <c r="P124" i="12"/>
  <c r="P64" i="1" s="1"/>
  <c r="P28" i="3" s="1"/>
  <c r="S44" i="4"/>
  <c r="J8" i="4"/>
  <c r="J13" i="4" s="1"/>
  <c r="S36" i="3"/>
  <c r="R43" i="4" s="1"/>
  <c r="R48" i="4" s="1"/>
  <c r="S34" i="3"/>
  <c r="Q43" i="12"/>
  <c r="Q61" i="1" s="1"/>
  <c r="Q25" i="3" s="1"/>
  <c r="M67" i="1"/>
  <c r="M31" i="3" s="1"/>
  <c r="L9" i="4" s="1"/>
  <c r="L38" i="3"/>
  <c r="L39" i="3" s="1"/>
  <c r="L41" i="3" s="1"/>
  <c r="R70" i="12"/>
  <c r="R62" i="1" s="1"/>
  <c r="R26" i="3" s="1"/>
  <c r="O151" i="12"/>
  <c r="O65" i="1" s="1"/>
  <c r="O29" i="3" s="1"/>
  <c r="P97" i="12"/>
  <c r="P63" i="1" s="1"/>
  <c r="P27" i="3" s="1"/>
  <c r="N177" i="12"/>
  <c r="N66" i="1" s="1"/>
  <c r="N30" i="3" s="1"/>
  <c r="R49" i="4"/>
  <c r="S41" i="1"/>
  <c r="Q36" i="4" s="1"/>
  <c r="K25" i="2" l="1"/>
  <c r="L25" i="2" s="1"/>
  <c r="Q124" i="12"/>
  <c r="Q64" i="1" s="1"/>
  <c r="Q28" i="3" s="1"/>
  <c r="Q11" i="2"/>
  <c r="T43" i="12"/>
  <c r="T61" i="1" s="1"/>
  <c r="T25" i="3" s="1"/>
  <c r="M38" i="3"/>
  <c r="M39" i="3" s="1"/>
  <c r="M41" i="3" s="1"/>
  <c r="M42" i="3" s="1"/>
  <c r="L8" i="4" s="1"/>
  <c r="L13" i="4" s="1"/>
  <c r="N67" i="1"/>
  <c r="N31" i="3" s="1"/>
  <c r="M9" i="4" s="1"/>
  <c r="L42" i="3"/>
  <c r="Q97" i="12"/>
  <c r="Q63" i="1" s="1"/>
  <c r="Q27" i="3" s="1"/>
  <c r="P151" i="12"/>
  <c r="P65" i="1" s="1"/>
  <c r="P29" i="3" s="1"/>
  <c r="S70" i="12"/>
  <c r="S62" i="1" s="1"/>
  <c r="S26" i="3" s="1"/>
  <c r="O177" i="12"/>
  <c r="O66" i="1" s="1"/>
  <c r="O30" i="3" s="1"/>
  <c r="U35" i="1"/>
  <c r="U38" i="1" s="1"/>
  <c r="T29" i="4" s="1"/>
  <c r="S39" i="2"/>
  <c r="R50" i="4"/>
  <c r="T40" i="1"/>
  <c r="K26" i="2" l="1"/>
  <c r="R124" i="12"/>
  <c r="R64" i="1" s="1"/>
  <c r="R28" i="3" s="1"/>
  <c r="R43" i="12"/>
  <c r="R61" i="1" s="1"/>
  <c r="R25" i="3" s="1"/>
  <c r="S43" i="12"/>
  <c r="S61" i="1" s="1"/>
  <c r="S25" i="3" s="1"/>
  <c r="U43" i="12"/>
  <c r="U61" i="1" s="1"/>
  <c r="U25" i="3" s="1"/>
  <c r="T44" i="4"/>
  <c r="K8" i="4"/>
  <c r="K13" i="4" s="1"/>
  <c r="N38" i="3"/>
  <c r="N39" i="3" s="1"/>
  <c r="N41" i="3" s="1"/>
  <c r="T36" i="3"/>
  <c r="S43" i="4" s="1"/>
  <c r="S48" i="4" s="1"/>
  <c r="T34" i="3"/>
  <c r="O67" i="1"/>
  <c r="O31" i="3" s="1"/>
  <c r="T70" i="12"/>
  <c r="T62" i="1" s="1"/>
  <c r="T26" i="3" s="1"/>
  <c r="Q151" i="12"/>
  <c r="Q65" i="1" s="1"/>
  <c r="Q29" i="3" s="1"/>
  <c r="R97" i="12"/>
  <c r="R63" i="1" s="1"/>
  <c r="R27" i="3" s="1"/>
  <c r="P177" i="12"/>
  <c r="P66" i="1" s="1"/>
  <c r="P30" i="3" s="1"/>
  <c r="L26" i="2"/>
  <c r="M25" i="2"/>
  <c r="V35" i="1"/>
  <c r="V38" i="1" s="1"/>
  <c r="U29" i="4" s="1"/>
  <c r="T39" i="2"/>
  <c r="S40" i="2"/>
  <c r="U40" i="1"/>
  <c r="T41" i="1"/>
  <c r="R36" i="4" s="1"/>
  <c r="R11" i="2" s="1"/>
  <c r="S124" i="12" l="1"/>
  <c r="S64" i="1" s="1"/>
  <c r="S28" i="3" s="1"/>
  <c r="V43" i="12"/>
  <c r="V61" i="1" s="1"/>
  <c r="V25" i="3" s="1"/>
  <c r="U44" i="4"/>
  <c r="N42" i="3"/>
  <c r="M8" i="4" s="1"/>
  <c r="M13" i="4" s="1"/>
  <c r="O38" i="3"/>
  <c r="O39" i="3" s="1"/>
  <c r="O41" i="3" s="1"/>
  <c r="N9" i="4"/>
  <c r="U36" i="3"/>
  <c r="T43" i="4" s="1"/>
  <c r="U34" i="3"/>
  <c r="P67" i="1"/>
  <c r="P31" i="3" s="1"/>
  <c r="S97" i="12"/>
  <c r="S63" i="1" s="1"/>
  <c r="S27" i="3" s="1"/>
  <c r="R151" i="12"/>
  <c r="R65" i="1" s="1"/>
  <c r="R29" i="3" s="1"/>
  <c r="U70" i="12"/>
  <c r="U62" i="1" s="1"/>
  <c r="U26" i="3" s="1"/>
  <c r="Q177" i="12"/>
  <c r="Q66" i="1" s="1"/>
  <c r="Q30" i="3" s="1"/>
  <c r="N25" i="2"/>
  <c r="M26" i="2"/>
  <c r="W35" i="1"/>
  <c r="W38" i="1" s="1"/>
  <c r="V29" i="4" s="1"/>
  <c r="U39" i="2"/>
  <c r="T40" i="2"/>
  <c r="S49" i="4"/>
  <c r="S50" i="4" s="1"/>
  <c r="U41" i="1"/>
  <c r="S36" i="4" s="1"/>
  <c r="V40" i="1"/>
  <c r="V34" i="3" s="1"/>
  <c r="T124" i="12" l="1"/>
  <c r="T64" i="1" s="1"/>
  <c r="T28" i="3" s="1"/>
  <c r="W43" i="12"/>
  <c r="W61" i="1" s="1"/>
  <c r="W25" i="3" s="1"/>
  <c r="O42" i="3"/>
  <c r="S11" i="2"/>
  <c r="V44" i="4"/>
  <c r="P38" i="3"/>
  <c r="P39" i="3" s="1"/>
  <c r="P41" i="3" s="1"/>
  <c r="P42" i="3" s="1"/>
  <c r="O8" i="4" s="1"/>
  <c r="O9" i="4"/>
  <c r="Q67" i="1"/>
  <c r="Q31" i="3" s="1"/>
  <c r="V70" i="12"/>
  <c r="V62" i="1" s="1"/>
  <c r="V26" i="3" s="1"/>
  <c r="S151" i="12"/>
  <c r="S65" i="1" s="1"/>
  <c r="S29" i="3" s="1"/>
  <c r="T97" i="12"/>
  <c r="T63" i="1" s="1"/>
  <c r="T27" i="3" s="1"/>
  <c r="O25" i="2"/>
  <c r="N26" i="2"/>
  <c r="R177" i="12"/>
  <c r="R66" i="1" s="1"/>
  <c r="R30" i="3" s="1"/>
  <c r="T48" i="4"/>
  <c r="T49" i="4"/>
  <c r="U40" i="2"/>
  <c r="X35" i="1"/>
  <c r="X38" i="1" s="1"/>
  <c r="W29" i="4" s="1"/>
  <c r="V39" i="2"/>
  <c r="V41" i="1"/>
  <c r="T36" i="4" s="1"/>
  <c r="V36" i="3"/>
  <c r="U43" i="4" s="1"/>
  <c r="W40" i="1"/>
  <c r="W34" i="3" s="1"/>
  <c r="U124" i="12" l="1"/>
  <c r="U64" i="1" s="1"/>
  <c r="U28" i="3" s="1"/>
  <c r="X43" i="12"/>
  <c r="X61" i="1" s="1"/>
  <c r="X25" i="3" s="1"/>
  <c r="N8" i="4"/>
  <c r="N13" i="4" s="1"/>
  <c r="W44" i="4"/>
  <c r="T11" i="2"/>
  <c r="O13" i="4"/>
  <c r="Q38" i="3"/>
  <c r="Q39" i="3" s="1"/>
  <c r="Q41" i="3" s="1"/>
  <c r="Q42" i="3" s="1"/>
  <c r="P8" i="4" s="1"/>
  <c r="P9" i="4"/>
  <c r="R67" i="1"/>
  <c r="R31" i="3" s="1"/>
  <c r="Q9" i="4" s="1"/>
  <c r="U97" i="12"/>
  <c r="U63" i="1" s="1"/>
  <c r="U27" i="3" s="1"/>
  <c r="T151" i="12"/>
  <c r="T65" i="1" s="1"/>
  <c r="T29" i="3" s="1"/>
  <c r="W70" i="12"/>
  <c r="W62" i="1" s="1"/>
  <c r="W26" i="3" s="1"/>
  <c r="X70" i="12"/>
  <c r="X62" i="1" s="1"/>
  <c r="X26" i="3" s="1"/>
  <c r="S177" i="12"/>
  <c r="S66" i="1" s="1"/>
  <c r="S30" i="3" s="1"/>
  <c r="P25" i="2"/>
  <c r="O26" i="2"/>
  <c r="W39" i="2"/>
  <c r="V40" i="2"/>
  <c r="U49" i="4"/>
  <c r="T50" i="4"/>
  <c r="W41" i="1"/>
  <c r="U36" i="4" s="1"/>
  <c r="W36" i="3"/>
  <c r="V43" i="4" s="1"/>
  <c r="X40" i="1"/>
  <c r="V124" i="12" l="1"/>
  <c r="V64" i="1" s="1"/>
  <c r="V28" i="3" s="1"/>
  <c r="U11" i="2"/>
  <c r="R38" i="3"/>
  <c r="R39" i="3" s="1"/>
  <c r="R41" i="3" s="1"/>
  <c r="P13" i="4"/>
  <c r="X36" i="3"/>
  <c r="W43" i="4" s="1"/>
  <c r="W48" i="4" s="1"/>
  <c r="X34" i="3"/>
  <c r="S67" i="1"/>
  <c r="S31" i="3" s="1"/>
  <c r="R9" i="4" s="1"/>
  <c r="U151" i="12"/>
  <c r="U65" i="1" s="1"/>
  <c r="U29" i="3" s="1"/>
  <c r="V97" i="12"/>
  <c r="V63" i="1" s="1"/>
  <c r="V27" i="3" s="1"/>
  <c r="P26" i="2"/>
  <c r="Q25" i="2"/>
  <c r="T177" i="12"/>
  <c r="T66" i="1" s="1"/>
  <c r="T30" i="3" s="1"/>
  <c r="W40" i="2"/>
  <c r="U48" i="4"/>
  <c r="U50" i="4" s="1"/>
  <c r="V49" i="4"/>
  <c r="X41" i="1"/>
  <c r="V36" i="4" s="1"/>
  <c r="W36" i="4" s="1"/>
  <c r="W124" i="12" l="1"/>
  <c r="W64" i="1" s="1"/>
  <c r="W28" i="3" s="1"/>
  <c r="R42" i="3"/>
  <c r="Q8" i="4" s="1"/>
  <c r="Q13" i="4" s="1"/>
  <c r="V11" i="2"/>
  <c r="W11" i="2" s="1"/>
  <c r="S38" i="3"/>
  <c r="S39" i="3" s="1"/>
  <c r="S41" i="3" s="1"/>
  <c r="T67" i="1"/>
  <c r="T31" i="3" s="1"/>
  <c r="S9" i="4" s="1"/>
  <c r="W97" i="12"/>
  <c r="W63" i="1" s="1"/>
  <c r="W27" i="3" s="1"/>
  <c r="X97" i="12"/>
  <c r="X63" i="1" s="1"/>
  <c r="X27" i="3" s="1"/>
  <c r="V151" i="12"/>
  <c r="V65" i="1" s="1"/>
  <c r="V29" i="3" s="1"/>
  <c r="W49" i="4"/>
  <c r="W50" i="4" s="1"/>
  <c r="U177" i="12"/>
  <c r="U66" i="1" s="1"/>
  <c r="U30" i="3" s="1"/>
  <c r="Q26" i="2"/>
  <c r="R25" i="2"/>
  <c r="V48" i="4"/>
  <c r="V50" i="4" s="1"/>
  <c r="X124" i="12" l="1"/>
  <c r="X64" i="1" s="1"/>
  <c r="X28" i="3" s="1"/>
  <c r="S42" i="3"/>
  <c r="T38" i="3"/>
  <c r="T39" i="3" s="1"/>
  <c r="T41" i="3" s="1"/>
  <c r="U67" i="1"/>
  <c r="U31" i="3" s="1"/>
  <c r="T9" i="4" s="1"/>
  <c r="W151" i="12"/>
  <c r="W65" i="1" s="1"/>
  <c r="W29" i="3" s="1"/>
  <c r="X151" i="12"/>
  <c r="X65" i="1" s="1"/>
  <c r="X29" i="3" s="1"/>
  <c r="R26" i="2"/>
  <c r="S25" i="2"/>
  <c r="V177" i="12"/>
  <c r="V66" i="1" s="1"/>
  <c r="V30" i="3" s="1"/>
  <c r="R8" i="4" l="1"/>
  <c r="R13" i="4" s="1"/>
  <c r="T42" i="3"/>
  <c r="S8" i="4" s="1"/>
  <c r="S13" i="4" s="1"/>
  <c r="U38" i="3"/>
  <c r="U39" i="3" s="1"/>
  <c r="U41" i="3" s="1"/>
  <c r="U42" i="3" s="1"/>
  <c r="T8" i="4" s="1"/>
  <c r="T13" i="4" s="1"/>
  <c r="V67" i="1"/>
  <c r="V31" i="3" s="1"/>
  <c r="U9" i="4" s="1"/>
  <c r="X177" i="12"/>
  <c r="X66" i="1" s="1"/>
  <c r="X30" i="3" s="1"/>
  <c r="W177" i="12"/>
  <c r="W66" i="1" s="1"/>
  <c r="W30" i="3" s="1"/>
  <c r="S26" i="2"/>
  <c r="T25" i="2"/>
  <c r="V38" i="3" l="1"/>
  <c r="V39" i="3" s="1"/>
  <c r="V41" i="3" s="1"/>
  <c r="W67" i="1"/>
  <c r="W31" i="3" s="1"/>
  <c r="V9" i="4" s="1"/>
  <c r="X67" i="1"/>
  <c r="X31" i="3" s="1"/>
  <c r="W9" i="4" s="1"/>
  <c r="T26" i="2"/>
  <c r="U25" i="2"/>
  <c r="W38" i="3" l="1"/>
  <c r="W39" i="3" s="1"/>
  <c r="W41" i="3" s="1"/>
  <c r="V42" i="3"/>
  <c r="X38" i="3"/>
  <c r="X39" i="3" s="1"/>
  <c r="X41" i="3" s="1"/>
  <c r="U26" i="2"/>
  <c r="V25" i="2"/>
  <c r="W42" i="3" l="1"/>
  <c r="V8" i="4" s="1"/>
  <c r="V13" i="4" s="1"/>
  <c r="U8" i="4"/>
  <c r="U13" i="4" s="1"/>
  <c r="X42" i="3"/>
  <c r="W8" i="4" s="1"/>
  <c r="W13" i="4" s="1"/>
  <c r="V26" i="2"/>
  <c r="W25" i="2"/>
  <c r="W26" i="2" s="1"/>
  <c r="E44" i="3" l="1"/>
  <c r="E45" i="3" s="1"/>
  <c r="D44" i="2" s="1"/>
  <c r="D31" i="4"/>
  <c r="D45" i="4" s="1"/>
  <c r="D45" i="2" l="1"/>
  <c r="D47" i="2" s="1"/>
  <c r="D32" i="4"/>
  <c r="D35" i="4" s="1"/>
  <c r="D59" i="4"/>
  <c r="D60" i="4" s="1"/>
  <c r="D37" i="4" l="1"/>
  <c r="D42" i="4"/>
  <c r="D46" i="4" s="1"/>
  <c r="D52" i="4" s="1"/>
  <c r="E34" i="4" l="1"/>
  <c r="D96" i="14" s="1"/>
  <c r="D98" i="14" s="1"/>
  <c r="D10" i="2"/>
  <c r="C97" i="14" l="1"/>
  <c r="D14" i="2"/>
  <c r="D28" i="2" s="1"/>
  <c r="D50" i="2" s="1"/>
  <c r="F44" i="3" l="1"/>
  <c r="F45" i="3" s="1"/>
  <c r="E44" i="2" s="1"/>
  <c r="E45" i="2" s="1"/>
  <c r="E47" i="2" s="1"/>
  <c r="E31" i="4"/>
  <c r="C100" i="14"/>
  <c r="E45" i="4" l="1"/>
  <c r="E59" i="4"/>
  <c r="E60" i="4" s="1"/>
  <c r="E32" i="4"/>
  <c r="E35" i="4" s="1"/>
  <c r="E42" i="4" l="1"/>
  <c r="E46" i="4" s="1"/>
  <c r="E52" i="4" s="1"/>
  <c r="E37" i="4"/>
  <c r="F34" i="4" l="1"/>
  <c r="E96" i="14" s="1"/>
  <c r="E98" i="14" s="1"/>
  <c r="E10" i="2"/>
  <c r="D97" i="14" l="1"/>
  <c r="E14" i="2"/>
  <c r="E28" i="2" s="1"/>
  <c r="E50" i="2" s="1"/>
  <c r="G44" i="3"/>
  <c r="G45" i="3" s="1"/>
  <c r="F44" i="2" s="1"/>
  <c r="F45" i="2" s="1"/>
  <c r="F47" i="2" s="1"/>
  <c r="F31" i="4"/>
  <c r="D100" i="14" l="1"/>
  <c r="F45" i="4"/>
  <c r="F59" i="4"/>
  <c r="F60" i="4" s="1"/>
  <c r="F32" i="4"/>
  <c r="F35" i="4" s="1"/>
  <c r="F42" i="4" l="1"/>
  <c r="F46" i="4" s="1"/>
  <c r="F52" i="4" s="1"/>
  <c r="F37" i="4"/>
  <c r="G34" i="4" l="1"/>
  <c r="F96" i="14" s="1"/>
  <c r="F98" i="14" s="1"/>
  <c r="F10" i="2"/>
  <c r="F14" i="2" l="1"/>
  <c r="F28" i="2" s="1"/>
  <c r="F50" i="2" s="1"/>
  <c r="E97" i="14"/>
  <c r="E100" i="14" s="1"/>
  <c r="G31" i="4"/>
  <c r="H44" i="3"/>
  <c r="H45" i="3" s="1"/>
  <c r="G44" i="2" s="1"/>
  <c r="G45" i="2" s="1"/>
  <c r="G47" i="2" s="1"/>
  <c r="G45" i="4" l="1"/>
  <c r="G59" i="4"/>
  <c r="G60" i="4" s="1"/>
  <c r="G32" i="4"/>
  <c r="G35" i="4" s="1"/>
  <c r="G37" i="4" l="1"/>
  <c r="G42" i="4"/>
  <c r="G46" i="4" s="1"/>
  <c r="G52" i="4" s="1"/>
  <c r="G10" i="2" l="1"/>
  <c r="H34" i="4"/>
  <c r="G96" i="14" l="1"/>
  <c r="G98" i="14" s="1"/>
  <c r="H31" i="4" s="1"/>
  <c r="G14" i="2"/>
  <c r="G28" i="2" s="1"/>
  <c r="G50" i="2" s="1"/>
  <c r="F97" i="14"/>
  <c r="H45" i="4" l="1"/>
  <c r="H32" i="4"/>
  <c r="H35" i="4" s="1"/>
  <c r="H59" i="4"/>
  <c r="H60" i="4" s="1"/>
  <c r="I44" i="3"/>
  <c r="I45" i="3" s="1"/>
  <c r="H44" i="2" s="1"/>
  <c r="H45" i="2" s="1"/>
  <c r="H47" i="2" s="1"/>
  <c r="F100" i="14"/>
  <c r="H42" i="4"/>
  <c r="H46" i="4" s="1"/>
  <c r="H52" i="4" s="1"/>
  <c r="H37" i="4"/>
  <c r="H10" i="2" l="1"/>
  <c r="I34" i="4"/>
  <c r="H96" i="14" s="1"/>
  <c r="H98" i="14" s="1"/>
  <c r="G97" i="14" l="1"/>
  <c r="G100" i="14" s="1"/>
  <c r="H14" i="2"/>
  <c r="H28" i="2" s="1"/>
  <c r="H50" i="2" s="1"/>
  <c r="I31" i="4" l="1"/>
  <c r="J44" i="3"/>
  <c r="J45" i="3" s="1"/>
  <c r="I44" i="2" s="1"/>
  <c r="I45" i="2" l="1"/>
  <c r="I47" i="2" s="1"/>
  <c r="I59" i="4"/>
  <c r="I60" i="4" s="1"/>
  <c r="I45" i="4"/>
  <c r="I32" i="4"/>
  <c r="I35" i="4" s="1"/>
  <c r="I42" i="4" l="1"/>
  <c r="I46" i="4" s="1"/>
  <c r="I52" i="4" s="1"/>
  <c r="I37" i="4"/>
  <c r="I10" i="2" l="1"/>
  <c r="J34" i="4"/>
  <c r="I96" i="14" s="1"/>
  <c r="I98" i="14" s="1"/>
  <c r="I14" i="2" l="1"/>
  <c r="I28" i="2" s="1"/>
  <c r="I50" i="2" s="1"/>
  <c r="H97" i="14"/>
  <c r="H100" i="14" l="1"/>
  <c r="J31" i="4"/>
  <c r="K44" i="3"/>
  <c r="K45" i="3" s="1"/>
  <c r="J44" i="2" s="1"/>
  <c r="J45" i="4" l="1"/>
  <c r="J59" i="4"/>
  <c r="J60" i="4" s="1"/>
  <c r="J32" i="4"/>
  <c r="J35" i="4" s="1"/>
  <c r="J45" i="2"/>
  <c r="J47" i="2" s="1"/>
  <c r="J42" i="4" l="1"/>
  <c r="J46" i="4" s="1"/>
  <c r="J52" i="4" s="1"/>
  <c r="J37" i="4"/>
  <c r="J10" i="2" l="1"/>
  <c r="K34" i="4"/>
  <c r="J96" i="14" s="1"/>
  <c r="J98" i="14" s="1"/>
  <c r="J14" i="2" l="1"/>
  <c r="J28" i="2" s="1"/>
  <c r="J50" i="2" s="1"/>
  <c r="I97" i="14"/>
  <c r="I100" i="14" l="1"/>
  <c r="L44" i="3"/>
  <c r="L45" i="3" s="1"/>
  <c r="K44" i="2" s="1"/>
  <c r="K31" i="4"/>
  <c r="K59" i="4" l="1"/>
  <c r="K60" i="4" s="1"/>
  <c r="K45" i="4"/>
  <c r="K32" i="4"/>
  <c r="K35" i="4" s="1"/>
  <c r="K45" i="2"/>
  <c r="K47" i="2" s="1"/>
  <c r="K42" i="4" l="1"/>
  <c r="K46" i="4" s="1"/>
  <c r="K52" i="4" s="1"/>
  <c r="K37" i="4"/>
  <c r="L34" i="4" l="1"/>
  <c r="K96" i="14" s="1"/>
  <c r="K98" i="14" s="1"/>
  <c r="K10" i="2"/>
  <c r="K14" i="2" l="1"/>
  <c r="K28" i="2" s="1"/>
  <c r="K50" i="2" s="1"/>
  <c r="J97" i="14"/>
  <c r="M44" i="3" l="1"/>
  <c r="M45" i="3" s="1"/>
  <c r="L44" i="2" s="1"/>
  <c r="L31" i="4"/>
  <c r="J100" i="14"/>
  <c r="L59" i="4" l="1"/>
  <c r="L60" i="4" s="1"/>
  <c r="L45" i="4"/>
  <c r="L32" i="4"/>
  <c r="L35" i="4" s="1"/>
  <c r="L45" i="2"/>
  <c r="L47" i="2" s="1"/>
  <c r="L42" i="4" l="1"/>
  <c r="L46" i="4" s="1"/>
  <c r="L52" i="4" s="1"/>
  <c r="L37" i="4"/>
  <c r="M34" i="4" l="1"/>
  <c r="L96" i="14" s="1"/>
  <c r="L98" i="14" s="1"/>
  <c r="L10" i="2"/>
  <c r="K97" i="14" l="1"/>
  <c r="L14" i="2"/>
  <c r="L28" i="2" s="1"/>
  <c r="L50" i="2" s="1"/>
  <c r="M31" i="4" l="1"/>
  <c r="N44" i="3"/>
  <c r="N45" i="3" s="1"/>
  <c r="M44" i="2" s="1"/>
  <c r="K100" i="14"/>
  <c r="M45" i="2" l="1"/>
  <c r="M47" i="2" s="1"/>
  <c r="M45" i="4"/>
  <c r="M59" i="4"/>
  <c r="M60" i="4" s="1"/>
  <c r="M32" i="4"/>
  <c r="M35" i="4" s="1"/>
  <c r="M42" i="4" l="1"/>
  <c r="M46" i="4" s="1"/>
  <c r="M52" i="4" s="1"/>
  <c r="M37" i="4"/>
  <c r="N34" i="4" l="1"/>
  <c r="M96" i="14" s="1"/>
  <c r="M98" i="14" s="1"/>
  <c r="M10" i="2"/>
  <c r="L97" i="14" l="1"/>
  <c r="M14" i="2"/>
  <c r="M28" i="2" s="1"/>
  <c r="M50" i="2" s="1"/>
  <c r="O44" i="3" l="1"/>
  <c r="O45" i="3" s="1"/>
  <c r="N44" i="2" s="1"/>
  <c r="N31" i="4"/>
  <c r="L100" i="14"/>
  <c r="N45" i="4" l="1"/>
  <c r="N59" i="4"/>
  <c r="N60" i="4" s="1"/>
  <c r="N32" i="4"/>
  <c r="N35" i="4" s="1"/>
  <c r="N45" i="2"/>
  <c r="N47" i="2" s="1"/>
  <c r="N42" i="4" l="1"/>
  <c r="N46" i="4" s="1"/>
  <c r="N52" i="4" s="1"/>
  <c r="N37" i="4"/>
  <c r="O34" i="4" l="1"/>
  <c r="N96" i="14" s="1"/>
  <c r="N98" i="14" s="1"/>
  <c r="N10" i="2"/>
  <c r="M97" i="14" l="1"/>
  <c r="M100" i="14" s="1"/>
  <c r="N14" i="2"/>
  <c r="N28" i="2" s="1"/>
  <c r="N50" i="2" s="1"/>
  <c r="P44" i="3" l="1"/>
  <c r="P45" i="3" s="1"/>
  <c r="O44" i="2" s="1"/>
  <c r="O31" i="4"/>
  <c r="O45" i="4" l="1"/>
  <c r="O59" i="4"/>
  <c r="O60" i="4" s="1"/>
  <c r="O32" i="4"/>
  <c r="O35" i="4" s="1"/>
  <c r="O45" i="2"/>
  <c r="O47" i="2" s="1"/>
  <c r="O42" i="4" l="1"/>
  <c r="O46" i="4" s="1"/>
  <c r="O52" i="4" s="1"/>
  <c r="O37" i="4"/>
  <c r="O10" i="2" l="1"/>
  <c r="P34" i="4"/>
  <c r="O96" i="14" s="1"/>
  <c r="O98" i="14" s="1"/>
  <c r="N97" i="14" l="1"/>
  <c r="N100" i="14" s="1"/>
  <c r="O14" i="2"/>
  <c r="O28" i="2" s="1"/>
  <c r="O50" i="2" s="1"/>
  <c r="P31" i="4" l="1"/>
  <c r="Q44" i="3"/>
  <c r="Q45" i="3" s="1"/>
  <c r="P44" i="2" s="1"/>
  <c r="P45" i="2" l="1"/>
  <c r="P47" i="2" s="1"/>
  <c r="P45" i="4"/>
  <c r="P59" i="4"/>
  <c r="P60" i="4" s="1"/>
  <c r="P32" i="4"/>
  <c r="P35" i="4" s="1"/>
  <c r="P42" i="4" l="1"/>
  <c r="P46" i="4" s="1"/>
  <c r="P52" i="4" s="1"/>
  <c r="P37" i="4"/>
  <c r="P10" i="2" l="1"/>
  <c r="Q34" i="4"/>
  <c r="P96" i="14" s="1"/>
  <c r="P98" i="14" s="1"/>
  <c r="P14" i="2" l="1"/>
  <c r="P28" i="2" s="1"/>
  <c r="P50" i="2" s="1"/>
  <c r="O97" i="14"/>
  <c r="O100" i="14" s="1"/>
  <c r="Q31" i="4" l="1"/>
  <c r="R44" i="3"/>
  <c r="R45" i="3" s="1"/>
  <c r="Q44" i="2" s="1"/>
  <c r="Q45" i="2" l="1"/>
  <c r="Q47" i="2" s="1"/>
  <c r="Q45" i="4"/>
  <c r="Q59" i="4"/>
  <c r="Q60" i="4" s="1"/>
  <c r="Q32" i="4"/>
  <c r="Q35" i="4" s="1"/>
  <c r="Q42" i="4" l="1"/>
  <c r="Q46" i="4" s="1"/>
  <c r="Q52" i="4" s="1"/>
  <c r="Q37" i="4"/>
  <c r="Q10" i="2" l="1"/>
  <c r="R34" i="4"/>
  <c r="Q96" i="14" s="1"/>
  <c r="Q98" i="14" s="1"/>
  <c r="P97" i="14" l="1"/>
  <c r="P100" i="14" s="1"/>
  <c r="Q14" i="2"/>
  <c r="Q28" i="2" s="1"/>
  <c r="Q50" i="2" s="1"/>
  <c r="R31" i="4" l="1"/>
  <c r="S44" i="3"/>
  <c r="S45" i="3" s="1"/>
  <c r="R44" i="2" s="1"/>
  <c r="R45" i="2" l="1"/>
  <c r="R47" i="2" s="1"/>
  <c r="R59" i="4"/>
  <c r="R60" i="4" s="1"/>
  <c r="R45" i="4"/>
  <c r="R32" i="4"/>
  <c r="R35" i="4" s="1"/>
  <c r="R42" i="4" l="1"/>
  <c r="R46" i="4" s="1"/>
  <c r="R52" i="4" s="1"/>
  <c r="R37" i="4"/>
  <c r="S34" i="4" l="1"/>
  <c r="R96" i="14" s="1"/>
  <c r="R98" i="14" s="1"/>
  <c r="R10" i="2"/>
  <c r="Q97" i="14" l="1"/>
  <c r="Q100" i="14" s="1"/>
  <c r="R14" i="2"/>
  <c r="R28" i="2" s="1"/>
  <c r="R50" i="2" s="1"/>
  <c r="T44" i="3" l="1"/>
  <c r="T45" i="3" s="1"/>
  <c r="S44" i="2" s="1"/>
  <c r="S31" i="4"/>
  <c r="S45" i="4" l="1"/>
  <c r="S59" i="4"/>
  <c r="S60" i="4" s="1"/>
  <c r="S32" i="4"/>
  <c r="S35" i="4" s="1"/>
  <c r="S45" i="2"/>
  <c r="S47" i="2" s="1"/>
  <c r="S42" i="4" l="1"/>
  <c r="S46" i="4" s="1"/>
  <c r="S52" i="4" s="1"/>
  <c r="S37" i="4"/>
  <c r="S10" i="2" l="1"/>
  <c r="T34" i="4"/>
  <c r="S96" i="14" s="1"/>
  <c r="S98" i="14" s="1"/>
  <c r="R97" i="14" l="1"/>
  <c r="R100" i="14" s="1"/>
  <c r="S14" i="2"/>
  <c r="S28" i="2" s="1"/>
  <c r="S50" i="2" s="1"/>
  <c r="U44" i="3" l="1"/>
  <c r="U45" i="3" s="1"/>
  <c r="T44" i="2" s="1"/>
  <c r="T31" i="4"/>
  <c r="T59" i="4" l="1"/>
  <c r="T60" i="4" s="1"/>
  <c r="T45" i="4"/>
  <c r="T32" i="4"/>
  <c r="T35" i="4" s="1"/>
  <c r="T45" i="2"/>
  <c r="T47" i="2" s="1"/>
  <c r="T42" i="4" l="1"/>
  <c r="T46" i="4" s="1"/>
  <c r="T52" i="4" s="1"/>
  <c r="T37" i="4"/>
  <c r="T10" i="2" l="1"/>
  <c r="U34" i="4"/>
  <c r="T96" i="14" s="1"/>
  <c r="T98" i="14" s="1"/>
  <c r="S97" i="14" l="1"/>
  <c r="S100" i="14" s="1"/>
  <c r="T14" i="2"/>
  <c r="T28" i="2" s="1"/>
  <c r="T50" i="2" s="1"/>
  <c r="U31" i="4" l="1"/>
  <c r="V44" i="3"/>
  <c r="V45" i="3" s="1"/>
  <c r="U44" i="2" s="1"/>
  <c r="U45" i="2" l="1"/>
  <c r="U47" i="2" s="1"/>
  <c r="U59" i="4"/>
  <c r="U60" i="4" s="1"/>
  <c r="U45" i="4"/>
  <c r="U32" i="4"/>
  <c r="U35" i="4" s="1"/>
  <c r="U42" i="4" l="1"/>
  <c r="U46" i="4" s="1"/>
  <c r="U52" i="4" s="1"/>
  <c r="U37" i="4"/>
  <c r="U10" i="2" l="1"/>
  <c r="V34" i="4"/>
  <c r="U96" i="14" s="1"/>
  <c r="U98" i="14" s="1"/>
  <c r="T97" i="14" l="1"/>
  <c r="T100" i="14" s="1"/>
  <c r="U14" i="2"/>
  <c r="U28" i="2" s="1"/>
  <c r="U50" i="2" s="1"/>
  <c r="W44" i="3" l="1"/>
  <c r="W45" i="3" s="1"/>
  <c r="V44" i="2" s="1"/>
  <c r="V31" i="4"/>
  <c r="V45" i="4" l="1"/>
  <c r="V59" i="4"/>
  <c r="V60" i="4" s="1"/>
  <c r="V32" i="4"/>
  <c r="V35" i="4" s="1"/>
  <c r="V45" i="2"/>
  <c r="V47" i="2" s="1"/>
  <c r="V42" i="4" l="1"/>
  <c r="V46" i="4" s="1"/>
  <c r="V52" i="4" s="1"/>
  <c r="V37" i="4"/>
  <c r="W34" i="4" l="1"/>
  <c r="V96" i="14" s="1"/>
  <c r="V98" i="14" s="1"/>
  <c r="V10" i="2"/>
  <c r="V14" i="2" l="1"/>
  <c r="V28" i="2" s="1"/>
  <c r="V50" i="2" s="1"/>
  <c r="U97" i="14"/>
  <c r="U100" i="14" s="1"/>
  <c r="X44" i="3" l="1"/>
  <c r="X45" i="3" s="1"/>
  <c r="W44" i="2" s="1"/>
  <c r="W45" i="2" s="1"/>
  <c r="W47" i="2" s="1"/>
  <c r="W31" i="4"/>
  <c r="W59" i="4" l="1"/>
  <c r="W60" i="4" s="1"/>
  <c r="W45" i="4"/>
  <c r="W32" i="4"/>
  <c r="W35" i="4" s="1"/>
  <c r="W42" i="4" l="1"/>
  <c r="W46" i="4" s="1"/>
  <c r="W52" i="4" s="1"/>
  <c r="D54" i="4" s="1"/>
  <c r="W37" i="4"/>
  <c r="W10" i="2" s="1"/>
  <c r="V97" i="14" l="1"/>
  <c r="B99" i="14" s="1"/>
  <c r="W14" i="2"/>
  <c r="W28" i="2" s="1"/>
  <c r="W50" i="2" s="1"/>
  <c r="K7" i="14" s="1"/>
  <c r="D7" i="2"/>
  <c r="B3" i="2" l="1" a="1"/>
  <c r="B3" i="2" s="1"/>
  <c r="V100" i="14"/>
  <c r="K6" i="1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<sst xmlns="http://schemas.openxmlformats.org/spreadsheetml/2006/main" count="298" uniqueCount="248">
  <si>
    <t>Introduction to the Pre-App Project Forecasting Example Tool</t>
  </si>
  <si>
    <t>Purpose:</t>
  </si>
  <si>
    <r>
      <rPr>
        <sz val="12"/>
        <color rgb="FF000000"/>
        <rFont val="Calibri"/>
      </rPr>
      <t xml:space="preserve">The purpose of this document is to provide an example of the level of granularity and structure for the summary project financials for the purposes of the Pre-App. </t>
    </r>
    <r>
      <rPr>
        <b/>
        <sz val="12"/>
        <color rgb="FF000000"/>
        <rFont val="Calibri"/>
      </rPr>
      <t>This document is an example, is not expected to be completed, and will not be collected.</t>
    </r>
  </si>
  <si>
    <t>Description of contents</t>
  </si>
  <si>
    <t>Worksheet Legend:</t>
  </si>
  <si>
    <t>Worksheet</t>
  </si>
  <si>
    <t>Description</t>
  </si>
  <si>
    <t>Inputs &gt;&gt;</t>
  </si>
  <si>
    <t>Control Panel</t>
  </si>
  <si>
    <t>Processing &gt;&gt;</t>
  </si>
  <si>
    <t>Assumptions Processing</t>
  </si>
  <si>
    <t>Depreciation Schedule</t>
  </si>
  <si>
    <t>Outputs &gt;&gt;</t>
  </si>
  <si>
    <t>Income Statement</t>
  </si>
  <si>
    <t>CashFlow</t>
  </si>
  <si>
    <t>Balance Sheet</t>
  </si>
  <si>
    <t>Other &gt;&gt;</t>
  </si>
  <si>
    <t>Drop-downs</t>
  </si>
  <si>
    <t>Input &gt;&gt;</t>
  </si>
  <si>
    <t>See the following tabs (Control Panel) directly following this tab</t>
  </si>
  <si>
    <t>Main tab for the user that controls assumptions and inputs</t>
  </si>
  <si>
    <t>(A) Overview</t>
  </si>
  <si>
    <t>Error Checks:</t>
  </si>
  <si>
    <t>Notes</t>
  </si>
  <si>
    <t>Direct input</t>
  </si>
  <si>
    <t>Inputs</t>
  </si>
  <si>
    <t>- Checks that inputs are sensible (e.g., sum to 100%, no negative cost / loans / etc)</t>
  </si>
  <si>
    <t>Enter Project/Company Name</t>
  </si>
  <si>
    <t>CPO Semiconductor Manufacturing Project</t>
  </si>
  <si>
    <t>Interim calculation</t>
  </si>
  <si>
    <t>Text</t>
  </si>
  <si>
    <t>Cash balances</t>
  </si>
  <si>
    <t>- Checks if cash balances are positive for the entire forecast</t>
  </si>
  <si>
    <t>Cross sheet reference</t>
  </si>
  <si>
    <t>Balance sheet</t>
  </si>
  <si>
    <t>- Checks if the B/S reconciles</t>
  </si>
  <si>
    <t>(B) Project Capital Costs</t>
  </si>
  <si>
    <t>Check</t>
  </si>
  <si>
    <t>Total Initial Capital Investment</t>
  </si>
  <si>
    <t>Total Capital Allocated</t>
  </si>
  <si>
    <t>Size and timing of initial Capital Investment spend</t>
  </si>
  <si>
    <t>Year</t>
  </si>
  <si>
    <t>Amount</t>
  </si>
  <si>
    <t>Total</t>
  </si>
  <si>
    <t>Land</t>
  </si>
  <si>
    <t>Construction</t>
  </si>
  <si>
    <t>Equipment</t>
  </si>
  <si>
    <t>Administrative Expenses directly attributable to facility construction</t>
  </si>
  <si>
    <t>Infrastructure Improvements</t>
  </si>
  <si>
    <t>Other Capital Investment</t>
  </si>
  <si>
    <t>Ongoing annual capital investment (after facility initiates operation)</t>
  </si>
  <si>
    <t>Annual cost as a % of initial capital investment spend</t>
  </si>
  <si>
    <t>Start year</t>
  </si>
  <si>
    <t>(C) Project Revenue</t>
  </si>
  <si>
    <t>Unit production capacity, Monthly</t>
  </si>
  <si>
    <t>Unit price in first year of production</t>
  </si>
  <si>
    <t>Annual change in unit price</t>
  </si>
  <si>
    <t>End year</t>
  </si>
  <si>
    <t># years</t>
  </si>
  <si>
    <t>Unit production ramp up (% of total capacity)</t>
  </si>
  <si>
    <t>(D) Operating Costs</t>
  </si>
  <si>
    <t>Run Rate Cost</t>
  </si>
  <si>
    <t>Annual change after production ramp up</t>
  </si>
  <si>
    <t>Materials / Consumables / Chemicals</t>
  </si>
  <si>
    <t>Labor</t>
  </si>
  <si>
    <t>Utilities</t>
  </si>
  <si>
    <t>SG&amp;A</t>
  </si>
  <si>
    <t>R&amp;D</t>
  </si>
  <si>
    <t>[Other Costs #1]</t>
  </si>
  <si>
    <t>[Other Costs #2]</t>
  </si>
  <si>
    <t>[Other Costs #3]</t>
  </si>
  <si>
    <t>(E) Debt Assumptions</t>
  </si>
  <si>
    <t>Senior debt</t>
  </si>
  <si>
    <t>Subordinated debt</t>
  </si>
  <si>
    <t>Annual interest rate (%)</t>
  </si>
  <si>
    <t>Tenor (years)</t>
  </si>
  <si>
    <t xml:space="preserve">Amortization start (year) </t>
  </si>
  <si>
    <t>Loan structure</t>
  </si>
  <si>
    <t>Amortizing</t>
  </si>
  <si>
    <t>Total loan amount</t>
  </si>
  <si>
    <t>Loan disbursement start</t>
  </si>
  <si>
    <t>Loan disbursement end</t>
  </si>
  <si>
    <t>(F) Project Financing Assumptions</t>
  </si>
  <si>
    <t>Size and timing of Equity and Grant Contributions</t>
  </si>
  <si>
    <t>Equity Contributions</t>
  </si>
  <si>
    <t>CHIPS Direct Funding Contributions</t>
  </si>
  <si>
    <t>State and Local Incentives</t>
  </si>
  <si>
    <t>(G) Tax Assumptions</t>
  </si>
  <si>
    <t>Overall Tax Rate</t>
  </si>
  <si>
    <t>Investment Tax Credit (ITC)</t>
  </si>
  <si>
    <t>% of Qualifying Depreciable Capex for ITC</t>
  </si>
  <si>
    <t>(H) Depreciation Assumptions</t>
  </si>
  <si>
    <t xml:space="preserve"> </t>
  </si>
  <si>
    <t>Years</t>
  </si>
  <si>
    <t>(I) Working Capital Assumptions</t>
  </si>
  <si>
    <t>Days in Receivables</t>
  </si>
  <si>
    <t>Days Inventory</t>
  </si>
  <si>
    <t>Days in Payables</t>
  </si>
  <si>
    <t>Months Debt Service to Restricted Cash</t>
  </si>
  <si>
    <t>(J) Distributions</t>
  </si>
  <si>
    <t>Year distributions start</t>
  </si>
  <si>
    <t xml:space="preserve">Minimum cash balance </t>
  </si>
  <si>
    <t>Period Cash Balance (Pre Distribution)</t>
  </si>
  <si>
    <t>Period Cash Balance (Post distribution)</t>
  </si>
  <si>
    <t>Distribution</t>
  </si>
  <si>
    <t>Cash Balance Check</t>
  </si>
  <si>
    <t>See the following tabs (Assumptions Processing, Depreciation Schedule) directly following this tab</t>
  </si>
  <si>
    <t>Helper worksheet to structure inputs for model outputs</t>
  </si>
  <si>
    <t>Project Capital Costs</t>
  </si>
  <si>
    <t>Total Annual Capital Expenditures</t>
  </si>
  <si>
    <t>Project Revenue</t>
  </si>
  <si>
    <t>Production</t>
  </si>
  <si>
    <t>Price per Unit (USD)</t>
  </si>
  <si>
    <t>Net Sales</t>
  </si>
  <si>
    <t>Operating Costs</t>
  </si>
  <si>
    <t>Total Operating Costs</t>
  </si>
  <si>
    <t>Senior Debt Assumptions and Schedule</t>
  </si>
  <si>
    <t>Anchor Date</t>
  </si>
  <si>
    <t>Outstanding Principal (Start of Year)</t>
  </si>
  <si>
    <t>Draws on Principal</t>
  </si>
  <si>
    <t>Senior Debt Principal Repayments</t>
  </si>
  <si>
    <t>Outstanding Principal (End of Year)</t>
  </si>
  <si>
    <t>Senior Debt Interest</t>
  </si>
  <si>
    <t>Total Senior Debt Service</t>
  </si>
  <si>
    <t>Subordinated Debt -- Assumptions and Schedule</t>
  </si>
  <si>
    <t>Subordinated Debt Principal Repayments</t>
  </si>
  <si>
    <t>Subordinated Debt Interest</t>
  </si>
  <si>
    <t>Total Subordinated Debt Service</t>
  </si>
  <si>
    <t>Grant Assumptions</t>
  </si>
  <si>
    <t>Depreciation Assumptions</t>
  </si>
  <si>
    <t>Total Annual Depreciation Exp.</t>
  </si>
  <si>
    <t>Helper worksheet to calculate depreciation and investment tax credit</t>
  </si>
  <si>
    <t>Investment Tax Credit</t>
  </si>
  <si>
    <t>ITC effective rate</t>
  </si>
  <si>
    <t>ITC Calcuation</t>
  </si>
  <si>
    <t>ITC from Construction</t>
  </si>
  <si>
    <t>ITC from Equipment</t>
  </si>
  <si>
    <t>ITC from Administrative Expenses</t>
  </si>
  <si>
    <t>ITC from Infrastructure Improvements</t>
  </si>
  <si>
    <t>ITC from Other Capital Expenses</t>
  </si>
  <si>
    <t>Total ITC</t>
  </si>
  <si>
    <t>Depreciation Schedule: Construction</t>
  </si>
  <si>
    <t>Construction (Capex) pre ITC</t>
  </si>
  <si>
    <t>Construction (Capex) post ITC</t>
  </si>
  <si>
    <t>Capex post ITC</t>
  </si>
  <si>
    <t>Deprec. Table</t>
  </si>
  <si>
    <t>Depreciation Schedule: Equipment</t>
  </si>
  <si>
    <t>Equipment (Capex) pre ITC</t>
  </si>
  <si>
    <t>Equipment (Capex) post ITC</t>
  </si>
  <si>
    <t>Depreciation Schedule: Administrative Expenses directly attributable to facility construction</t>
  </si>
  <si>
    <t>Admin (Capex) pre ITC</t>
  </si>
  <si>
    <t>Admin (Capex) post ITC</t>
  </si>
  <si>
    <t>Depreciation Schedule: Infrastructure Improvements</t>
  </si>
  <si>
    <t>Infra Improvement (Capex) pre ITC</t>
  </si>
  <si>
    <t>Infra Improvement (CapEx) post ITC</t>
  </si>
  <si>
    <t>Depreciation Schedule: Other Capital Investment</t>
  </si>
  <si>
    <t>Other (Capex) pre ITC</t>
  </si>
  <si>
    <t>Other (Capex) post ITC</t>
  </si>
  <si>
    <t>Depreciation Schedule: Ongoing capital expenditures (after facility initiates operation)</t>
  </si>
  <si>
    <t>Ongoing Capital Expenditures (CapEx)</t>
  </si>
  <si>
    <t>Outputs&gt;&gt;</t>
  </si>
  <si>
    <t>See the following tabs (Income Statement, CashFlow, &amp; Balance Sheet) directly following this tab</t>
  </si>
  <si>
    <t>Model output summarizing income statement for the project</t>
  </si>
  <si>
    <t>Operating Income</t>
  </si>
  <si>
    <t>Other Operating Income</t>
  </si>
  <si>
    <t>Total Revenue</t>
  </si>
  <si>
    <t>Operating Expenses</t>
  </si>
  <si>
    <t>Total Operating Expenses</t>
  </si>
  <si>
    <t>Depreciation Expense</t>
  </si>
  <si>
    <t>Total Depreciation Expense</t>
  </si>
  <si>
    <t>Interest Income (Expense)</t>
  </si>
  <si>
    <t>Total Interest Income (Expense)</t>
  </si>
  <si>
    <t>Total Expenses</t>
  </si>
  <si>
    <t>Earnings Before Tax</t>
  </si>
  <si>
    <t>Taxes</t>
  </si>
  <si>
    <t>Net Income</t>
  </si>
  <si>
    <t>Excess Cash (available for distributions)</t>
  </si>
  <si>
    <t>Addition to Retained Earnings</t>
  </si>
  <si>
    <t>Cash Flow Statement</t>
  </si>
  <si>
    <t>Model output summarizing a cash flow statement for the project</t>
  </si>
  <si>
    <t>Operating Cash Flow</t>
  </si>
  <si>
    <t>Net Earnings</t>
  </si>
  <si>
    <t>+Depreciation &amp; Amortization</t>
  </si>
  <si>
    <t>Change in Receivables</t>
  </si>
  <si>
    <t>Change in Inventory</t>
  </si>
  <si>
    <t>Change in Payables/Other Curr. Liabilities</t>
  </si>
  <si>
    <t>Cash from Operations</t>
  </si>
  <si>
    <t>Investing Cash Flow</t>
  </si>
  <si>
    <t>Investments in Property &amp; Equipment</t>
  </si>
  <si>
    <t>Investment tax credit</t>
  </si>
  <si>
    <t>Cash from Investing</t>
  </si>
  <si>
    <t>Financing Cash Flow</t>
  </si>
  <si>
    <t>Equity Inflow (Outflow)</t>
  </si>
  <si>
    <t>Draw (repayment) CHIPS loans</t>
  </si>
  <si>
    <t>Draw (repayment) Non-CHIPS loans</t>
  </si>
  <si>
    <t>Equity Payouts</t>
  </si>
  <si>
    <t>Cash from Financing</t>
  </si>
  <si>
    <t>Beginning Cash Balance</t>
  </si>
  <si>
    <t>Net Increase (decrease) in Cash</t>
  </si>
  <si>
    <t>Cash (to)/from debt reserve</t>
  </si>
  <si>
    <t>Ending Cash Balance</t>
  </si>
  <si>
    <t>Debt Service Coverage</t>
  </si>
  <si>
    <t>Total Debt Service Coverage</t>
  </si>
  <si>
    <t>Net Cash Flow</t>
  </si>
  <si>
    <t>+Interest &amp; Fee Expense</t>
  </si>
  <si>
    <t>+Principal Repayment</t>
  </si>
  <si>
    <t>+Equity Payouts</t>
  </si>
  <si>
    <t>Total CADS</t>
  </si>
  <si>
    <t>Interest &amp; Fee Expense</t>
  </si>
  <si>
    <t>Principal Repayment</t>
  </si>
  <si>
    <t>Total Debt Service</t>
  </si>
  <si>
    <t>Total CADS/Total Debt Service</t>
  </si>
  <si>
    <t>Average Debt Service Coverage</t>
  </si>
  <si>
    <t>Cash Flow to Equity</t>
  </si>
  <si>
    <t>Equity Investment</t>
  </si>
  <si>
    <t>Net Cash Flow to Equity</t>
  </si>
  <si>
    <t>Model output summarizing a balance sheet for the project</t>
  </si>
  <si>
    <t>Assets</t>
  </si>
  <si>
    <t>Current Assets</t>
  </si>
  <si>
    <t>Cash</t>
  </si>
  <si>
    <t>Debt Service Reserve/Restricted Cash</t>
  </si>
  <si>
    <t>Accounts Receivable</t>
  </si>
  <si>
    <t>Inventory</t>
  </si>
  <si>
    <t>Total Current Assets</t>
  </si>
  <si>
    <t>Non-Current Assets</t>
  </si>
  <si>
    <t>Accumulated reduction in asset value due to ITC</t>
  </si>
  <si>
    <t>Accumulated Depreciation</t>
  </si>
  <si>
    <t>Total Non-Current Assets</t>
  </si>
  <si>
    <t>Total Assets</t>
  </si>
  <si>
    <t>Liabilities and Net Worth</t>
  </si>
  <si>
    <t>Current Liabilities</t>
  </si>
  <si>
    <t>Accounts Payable</t>
  </si>
  <si>
    <t>Current Portion -- Long Term Debt</t>
  </si>
  <si>
    <t>Total Current Liabilities</t>
  </si>
  <si>
    <t>Non-Current Liabilities</t>
  </si>
  <si>
    <t>Long Term Debt-Senior</t>
  </si>
  <si>
    <t>Total Non-Current Liabilities</t>
  </si>
  <si>
    <t>Net Worth/Stockholders Equity</t>
  </si>
  <si>
    <t>Stock and Paid in Capital</t>
  </si>
  <si>
    <t>Retained Earnings</t>
  </si>
  <si>
    <t>Total Net Worth</t>
  </si>
  <si>
    <t>Total Liabilites and Net Worth</t>
  </si>
  <si>
    <t>Reconciliation</t>
  </si>
  <si>
    <t>See the following tabs (Drop-Downs) directly following this tab</t>
  </si>
  <si>
    <t>Drop-Downs</t>
  </si>
  <si>
    <t>Helper worksheet to define options in tool’s drop downs</t>
  </si>
  <si>
    <t>Loan type</t>
  </si>
  <si>
    <t>Bullet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</si>
</sst>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\-yy;@"/>
    <numFmt numFmtId="165" formatCode="_-* #,##0_-;\(#,##0\)_-;_-* &quot;-&quot;_-;_-@_-"/>
    <numFmt numFmtId="166" formatCode="_-* #,##0.00_-;\-* #,##0.00_-;_-* &quot;-&quot;??_-;_-@_-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i/>
      <sz val="12"/>
      <color theme="0" tint="-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rgb="FFFFFFFF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80AA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E0E9FD"/>
        <bgColor indexed="64"/>
      </patternFill>
    </fill>
    <fill>
      <patternFill patternType="solid">
        <fgColor rgb="FF7E5D00"/>
        <bgColor indexed="64"/>
      </patternFill>
    </fill>
    <fill>
      <patternFill patternType="solid">
        <fgColor rgb="FFFFE8BA"/>
        <bgColor indexed="64"/>
      </patternFill>
    </fill>
    <fill>
      <patternFill patternType="solid">
        <fgColor rgb="FF00582D"/>
        <bgColor indexed="64"/>
      </patternFill>
    </fill>
    <fill>
      <patternFill patternType="solid">
        <fgColor rgb="FFC5E8C9"/>
        <bgColor indexed="64"/>
      </patternFill>
    </fill>
    <fill>
      <patternFill patternType="solid">
        <fgColor rgb="FF5F34A4"/>
        <bgColor indexed="64"/>
      </patternFill>
    </fill>
    <fill>
      <patternFill patternType="solid">
        <fgColor rgb="FFDCDAEE"/>
        <bgColor indexed="64"/>
      </patternFill>
    </fill>
    <fill>
      <patternFill patternType="solid">
        <fgColor rgb="FF646464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49998474074526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/>
    <xf numFmtId="0" fontId="6" fillId="4" borderId="0" applyNumberFormat="0" applyBorder="0">
      <alignment horizontal="left" wrapText="1"/>
    </xf>
    <xf numFmtId="0" fontId="7" fillId="8" borderId="0" applyNumberFormat="0" applyBorder="0"/>
    <xf numFmtId="0" fontId="6" fillId="9" borderId="0" applyNumberFormat="0" applyBorder="0">
      <alignment horizontal="left" wrapText="1"/>
    </xf>
    <xf numFmtId="0" fontId="7" fillId="10" borderId="0" applyNumberFormat="0" applyBorder="0">
      <protection locked="0"/>
    </xf>
    <xf numFmtId="0" fontId="6" fillId="11" borderId="0" applyNumberFormat="0" applyBorder="0">
      <alignment horizontal="left" wrapText="1"/>
    </xf>
    <xf numFmtId="0" fontId="7" fillId="12" borderId="0" applyNumberFormat="0" applyBorder="0">
      <protection locked="0"/>
    </xf>
    <xf numFmtId="0" fontId="6" fillId="13" borderId="0" applyNumberFormat="0" applyBorder="0">
      <alignment horizontal="left" wrapText="1"/>
    </xf>
    <xf numFmtId="0" fontId="7" fillId="14" borderId="0" applyNumberFormat="0" applyBorder="0"/>
    <xf numFmtId="0" fontId="6" fillId="15" borderId="0" applyNumberFormat="0" applyBorder="0">
      <alignment horizontal="left" wrapText="1"/>
    </xf>
    <xf numFmtId="0" fontId="7" fillId="16" borderId="0" applyNumberFormat="0" applyBorder="0"/>
    <xf numFmtId="0" fontId="8" fillId="17" borderId="0" applyNumberFormat="0" applyBorder="0">
      <alignment horizontal="left" wrapText="1"/>
    </xf>
    <xf numFmtId="0" fontId="7" fillId="17" borderId="0" applyNumberFormat="0" applyBorder="0"/>
    <xf numFmtId="0" fontId="9" fillId="9" borderId="0" applyNumberFormat="0">
      <alignment horizontal="left"/>
    </xf>
    <xf numFmtId="0" fontId="9" fillId="11" borderId="0" applyNumberFormat="0">
      <alignment horizontal="left"/>
    </xf>
    <xf numFmtId="0" fontId="9" fillId="13" borderId="0" applyNumberFormat="0">
      <alignment horizontal="left"/>
    </xf>
    <xf numFmtId="0" fontId="9" fillId="4" borderId="0" applyNumberFormat="0">
      <alignment horizontal="left"/>
    </xf>
    <xf numFmtId="0" fontId="9" fillId="15" borderId="0" applyNumberFormat="0">
      <alignment horizontal="left"/>
    </xf>
    <xf numFmtId="0" fontId="10" fillId="17" borderId="0" applyNumberFormat="0">
      <alignment horizontal="left"/>
    </xf>
    <xf numFmtId="166" fontId="1" fillId="0" borderId="0" applyFont="0" applyFill="0" applyBorder="0" applyAlignment="0" applyProtection="0"/>
  </cellStyleXfs>
  <cellXfs count="317">
    <xf numFmtId="0" fontId="0" fillId="0" borderId="0" xfId="0"/>
    <xf numFmtId="0" fontId="0" fillId="0" borderId="0" xfId="0" applyBorder="1"/>
    <xf numFmtId="0" fontId="11" fillId="0" borderId="0" xfId="0" applyFont="1"/>
    <xf numFmtId="0" fontId="12" fillId="0" borderId="0" xfId="0" applyFont="1" applyBorder="1" applyAlignment="1" applyProtection="1">
      <alignment vertical="center"/>
      <protection locked="0"/>
    </xf>
    <xf numFmtId="0" fontId="12" fillId="0" borderId="0" xfId="0" applyFont="1" applyBorder="1" applyProtection="1">
      <protection locked="0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/>
    <xf numFmtId="0" fontId="11" fillId="0" borderId="0" xfId="0" applyFont="1" applyFill="1" applyAlignment="1" applyProtection="1">
      <alignment horizontal="left"/>
      <protection locked="0"/>
    </xf>
    <xf numFmtId="0" fontId="12" fillId="6" borderId="0" xfId="0" applyFont="1" applyFill="1"/>
    <xf numFmtId="0" fontId="11" fillId="6" borderId="0" xfId="0" applyFont="1" applyFill="1"/>
    <xf numFmtId="0" fontId="11" fillId="18" borderId="6" xfId="0" applyFont="1" applyFill="1" applyBorder="1" applyAlignment="1">
      <alignment horizontal="center"/>
    </xf>
    <xf numFmtId="0" fontId="11" fillId="18" borderId="8" xfId="0" applyFont="1" applyFill="1" applyBorder="1" applyAlignment="1">
      <alignment horizontal="center"/>
    </xf>
    <xf numFmtId="3" fontId="11" fillId="18" borderId="12" xfId="0" applyNumberFormat="1" applyFont="1" applyFill="1" applyBorder="1" applyAlignment="1">
      <alignment horizontal="center"/>
    </xf>
    <xf numFmtId="3" fontId="11" fillId="18" borderId="11" xfId="0" applyNumberFormat="1" applyFont="1" applyFill="1" applyBorder="1" applyAlignment="1">
      <alignment horizontal="center"/>
    </xf>
    <xf numFmtId="9" fontId="11" fillId="18" borderId="16" xfId="0" applyNumberFormat="1" applyFont="1" applyFill="1" applyBorder="1" applyAlignment="1">
      <alignment horizontal="center"/>
    </xf>
    <xf numFmtId="0" fontId="11" fillId="18" borderId="10" xfId="0" applyFont="1" applyFill="1" applyBorder="1" applyAlignment="1">
      <alignment horizontal="center"/>
    </xf>
    <xf numFmtId="0" fontId="11" fillId="18" borderId="15" xfId="0" applyFont="1" applyFill="1" applyBorder="1" applyAlignment="1">
      <alignment horizontal="center"/>
    </xf>
    <xf numFmtId="9" fontId="11" fillId="18" borderId="12" xfId="0" applyNumberFormat="1" applyFont="1" applyFill="1" applyBorder="1" applyAlignment="1">
      <alignment horizontal="center"/>
    </xf>
    <xf numFmtId="0" fontId="12" fillId="6" borderId="0" xfId="0" applyFont="1" applyFill="1" applyAlignment="1" applyProtection="1">
      <alignment horizontal="left"/>
      <protection locked="0"/>
    </xf>
    <xf numFmtId="0" fontId="11" fillId="18" borderId="8" xfId="0" applyFont="1" applyFill="1" applyBorder="1" applyAlignment="1" applyProtection="1">
      <alignment horizontal="center"/>
      <protection locked="0"/>
    </xf>
    <xf numFmtId="0" fontId="11" fillId="18" borderId="9" xfId="0" applyFont="1" applyFill="1" applyBorder="1" applyAlignment="1" applyProtection="1">
      <alignment horizontal="center"/>
      <protection locked="0"/>
    </xf>
    <xf numFmtId="3" fontId="11" fillId="18" borderId="16" xfId="0" applyNumberFormat="1" applyFont="1" applyFill="1" applyBorder="1" applyAlignment="1">
      <alignment horizontal="center"/>
    </xf>
    <xf numFmtId="9" fontId="11" fillId="18" borderId="12" xfId="0" applyNumberFormat="1" applyFont="1" applyFill="1" applyBorder="1" applyAlignment="1" applyProtection="1">
      <alignment horizontal="center"/>
      <protection locked="0"/>
    </xf>
    <xf numFmtId="9" fontId="11" fillId="18" borderId="11" xfId="0" applyNumberFormat="1" applyFont="1" applyFill="1" applyBorder="1" applyAlignment="1" applyProtection="1">
      <alignment horizontal="center"/>
      <protection locked="0"/>
    </xf>
    <xf numFmtId="9" fontId="11" fillId="18" borderId="16" xfId="0" applyNumberFormat="1" applyFont="1" applyFill="1" applyBorder="1" applyAlignment="1" applyProtection="1">
      <alignment horizontal="center"/>
      <protection locked="0"/>
    </xf>
    <xf numFmtId="0" fontId="11" fillId="18" borderId="12" xfId="0" applyFont="1" applyFill="1" applyBorder="1" applyAlignment="1" applyProtection="1">
      <alignment horizontal="center"/>
      <protection locked="0"/>
    </xf>
    <xf numFmtId="0" fontId="11" fillId="18" borderId="11" xfId="0" applyFont="1" applyFill="1" applyBorder="1" applyAlignment="1" applyProtection="1">
      <alignment horizontal="center"/>
      <protection locked="0"/>
    </xf>
    <xf numFmtId="0" fontId="11" fillId="18" borderId="16" xfId="0" applyFont="1" applyFill="1" applyBorder="1" applyAlignment="1" applyProtection="1">
      <alignment horizontal="center"/>
      <protection locked="0"/>
    </xf>
    <xf numFmtId="10" fontId="11" fillId="0" borderId="0" xfId="0" applyNumberFormat="1" applyFont="1" applyFill="1" applyBorder="1" applyAlignment="1" applyProtection="1">
      <alignment horizontal="left"/>
      <protection locked="0"/>
    </xf>
    <xf numFmtId="10" fontId="11" fillId="0" borderId="0" xfId="0" applyNumberFormat="1" applyFont="1" applyBorder="1" applyProtection="1">
      <protection locked="0"/>
    </xf>
    <xf numFmtId="0" fontId="11" fillId="0" borderId="0" xfId="0" applyFont="1" applyFill="1" applyBorder="1" applyProtection="1">
      <protection locked="0"/>
    </xf>
    <xf numFmtId="0" fontId="11" fillId="0" borderId="0" xfId="0" applyFont="1" applyBorder="1"/>
    <xf numFmtId="0" fontId="12" fillId="0" borderId="0" xfId="0" applyFont="1" applyBorder="1" applyAlignment="1" applyProtection="1">
      <alignment horizontal="right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center"/>
    </xf>
    <xf numFmtId="0" fontId="12" fillId="6" borderId="0" xfId="0" applyFont="1" applyFill="1" applyAlignment="1" applyProtection="1">
      <alignment horizontal="center"/>
      <protection locked="0"/>
    </xf>
    <xf numFmtId="0" fontId="11" fillId="6" borderId="0" xfId="0" applyFont="1" applyFill="1" applyAlignment="1">
      <alignment horizontal="center"/>
    </xf>
    <xf numFmtId="10" fontId="11" fillId="18" borderId="4" xfId="0" applyNumberFormat="1" applyFont="1" applyFill="1" applyBorder="1" applyAlignment="1" applyProtection="1">
      <alignment horizontal="center"/>
      <protection locked="0"/>
    </xf>
    <xf numFmtId="10" fontId="11" fillId="18" borderId="5" xfId="0" applyNumberFormat="1" applyFont="1" applyFill="1" applyBorder="1" applyAlignment="1" applyProtection="1">
      <alignment horizontal="center"/>
      <protection locked="0"/>
    </xf>
    <xf numFmtId="3" fontId="11" fillId="18" borderId="6" xfId="0" applyNumberFormat="1" applyFont="1" applyFill="1" applyBorder="1" applyAlignment="1" applyProtection="1">
      <alignment horizontal="center"/>
      <protection locked="0"/>
    </xf>
    <xf numFmtId="3" fontId="11" fillId="18" borderId="7" xfId="0" applyNumberFormat="1" applyFont="1" applyFill="1" applyBorder="1" applyAlignment="1" applyProtection="1">
      <alignment horizontal="center"/>
      <protection locked="0"/>
    </xf>
    <xf numFmtId="10" fontId="11" fillId="18" borderId="6" xfId="0" applyNumberFormat="1" applyFont="1" applyFill="1" applyBorder="1" applyAlignment="1" applyProtection="1">
      <alignment horizontal="center"/>
      <protection locked="0"/>
    </xf>
    <xf numFmtId="10" fontId="11" fillId="18" borderId="7" xfId="0" applyNumberFormat="1" applyFont="1" applyFill="1" applyBorder="1" applyAlignment="1" applyProtection="1">
      <alignment horizontal="center"/>
      <protection locked="0"/>
    </xf>
    <xf numFmtId="3" fontId="14" fillId="0" borderId="0" xfId="0" applyNumberFormat="1" applyFont="1" applyAlignment="1">
      <alignment horizontal="center"/>
    </xf>
    <xf numFmtId="37" fontId="11" fillId="19" borderId="10" xfId="0" applyNumberFormat="1" applyFont="1" applyFill="1" applyBorder="1" applyAlignment="1">
      <alignment horizontal="center" vertical="top"/>
    </xf>
    <xf numFmtId="37" fontId="11" fillId="19" borderId="14" xfId="0" applyNumberFormat="1" applyFont="1" applyFill="1" applyBorder="1" applyAlignment="1">
      <alignment horizontal="center" vertical="top"/>
    </xf>
    <xf numFmtId="0" fontId="15" fillId="0" borderId="0" xfId="3" applyFont="1"/>
    <xf numFmtId="0" fontId="15" fillId="5" borderId="0" xfId="3" applyFont="1" applyFill="1"/>
    <xf numFmtId="0" fontId="15" fillId="7" borderId="0" xfId="3" applyFont="1" applyFill="1"/>
    <xf numFmtId="0" fontId="16" fillId="5" borderId="0" xfId="4" applyFont="1" applyFill="1"/>
    <xf numFmtId="0" fontId="17" fillId="5" borderId="0" xfId="4" applyFont="1" applyFill="1"/>
    <xf numFmtId="164" fontId="15" fillId="0" borderId="0" xfId="5" applyFont="1"/>
    <xf numFmtId="164" fontId="18" fillId="0" borderId="0" xfId="5" applyFont="1"/>
    <xf numFmtId="0" fontId="18" fillId="0" borderId="0" xfId="3" applyFont="1"/>
    <xf numFmtId="0" fontId="15" fillId="0" borderId="7" xfId="3" applyFont="1" applyBorder="1"/>
    <xf numFmtId="0" fontId="15" fillId="0" borderId="9" xfId="3" applyFont="1" applyBorder="1"/>
    <xf numFmtId="0" fontId="15" fillId="0" borderId="5" xfId="3" applyFont="1" applyBorder="1"/>
    <xf numFmtId="0" fontId="11" fillId="4" borderId="0" xfId="0" applyFont="1" applyFill="1" applyBorder="1"/>
    <xf numFmtId="0" fontId="11" fillId="4" borderId="0" xfId="0" applyFont="1" applyFill="1" applyBorder="1" applyAlignment="1">
      <alignment horizontal="center"/>
    </xf>
    <xf numFmtId="0" fontId="19" fillId="4" borderId="13" xfId="0" applyFont="1" applyFill="1" applyBorder="1" applyAlignment="1">
      <alignment horizontal="left" indent="1"/>
    </xf>
    <xf numFmtId="0" fontId="11" fillId="4" borderId="13" xfId="0" applyFont="1" applyFill="1" applyBorder="1"/>
    <xf numFmtId="0" fontId="11" fillId="4" borderId="13" xfId="0" applyFont="1" applyFill="1" applyBorder="1" applyAlignment="1">
      <alignment horizontal="center"/>
    </xf>
    <xf numFmtId="0" fontId="12" fillId="6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Border="1" applyProtection="1">
      <protection locked="0"/>
    </xf>
    <xf numFmtId="3" fontId="11" fillId="0" borderId="0" xfId="0" applyNumberFormat="1" applyFont="1" applyFill="1" applyProtection="1">
      <protection locked="0"/>
    </xf>
    <xf numFmtId="0" fontId="11" fillId="0" borderId="0" xfId="0" applyNumberFormat="1" applyFont="1" applyProtection="1">
      <protection locked="0"/>
    </xf>
    <xf numFmtId="3" fontId="11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3" fontId="11" fillId="0" borderId="0" xfId="0" applyNumberFormat="1" applyFont="1"/>
    <xf numFmtId="3" fontId="12" fillId="0" borderId="0" xfId="0" applyNumberFormat="1" applyFont="1" applyProtection="1">
      <protection locked="0"/>
    </xf>
    <xf numFmtId="3" fontId="11" fillId="0" borderId="0" xfId="0" applyNumberFormat="1" applyFont="1" applyFill="1" applyAlignment="1" applyProtection="1">
      <alignment horizontal="center"/>
      <protection locked="0"/>
    </xf>
    <xf numFmtId="3" fontId="11" fillId="0" borderId="0" xfId="0" applyNumberFormat="1" applyFont="1" applyAlignment="1" applyProtection="1">
      <alignment horizontal="left" indent="1"/>
      <protection locked="0"/>
    </xf>
    <xf numFmtId="3" fontId="12" fillId="0" borderId="2" xfId="0" applyNumberFormat="1" applyFont="1" applyBorder="1" applyAlignment="1" applyProtection="1">
      <alignment horizontal="left"/>
      <protection locked="0"/>
    </xf>
    <xf numFmtId="3" fontId="12" fillId="0" borderId="0" xfId="0" applyNumberFormat="1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left"/>
      <protection locked="0"/>
    </xf>
    <xf numFmtId="3" fontId="11" fillId="0" borderId="0" xfId="0" applyNumberFormat="1" applyFont="1" applyFill="1" applyBorder="1" applyProtection="1">
      <protection locked="0"/>
    </xf>
    <xf numFmtId="9" fontId="11" fillId="0" borderId="0" xfId="2" applyFont="1" applyFill="1" applyProtection="1">
      <protection locked="0"/>
    </xf>
    <xf numFmtId="3" fontId="11" fillId="0" borderId="1" xfId="0" applyNumberFormat="1" applyFont="1" applyBorder="1" applyAlignment="1" applyProtection="1">
      <alignment horizontal="left" indent="1"/>
      <protection locked="0"/>
    </xf>
    <xf numFmtId="3" fontId="11" fillId="0" borderId="0" xfId="0" applyNumberFormat="1" applyFont="1" applyAlignment="1" applyProtection="1">
      <alignment horizontal="left"/>
      <protection locked="0"/>
    </xf>
    <xf numFmtId="37" fontId="11" fillId="0" borderId="1" xfId="0" applyNumberFormat="1" applyFont="1" applyFill="1" applyBorder="1" applyProtection="1">
      <protection locked="0"/>
    </xf>
    <xf numFmtId="3" fontId="11" fillId="0" borderId="0" xfId="0" applyNumberFormat="1" applyFont="1" applyFill="1"/>
    <xf numFmtId="37" fontId="11" fillId="0" borderId="0" xfId="0" applyNumberFormat="1" applyFont="1" applyFill="1" applyBorder="1" applyProtection="1"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center"/>
    </xf>
    <xf numFmtId="37" fontId="11" fillId="0" borderId="0" xfId="0" applyNumberFormat="1" applyFont="1" applyFill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2" fontId="12" fillId="0" borderId="0" xfId="0" applyNumberFormat="1" applyFont="1" applyProtection="1">
      <protection locked="0"/>
    </xf>
    <xf numFmtId="2" fontId="11" fillId="0" borderId="0" xfId="0" applyNumberFormat="1" applyFont="1"/>
    <xf numFmtId="0" fontId="11" fillId="0" borderId="1" xfId="0" applyFont="1" applyBorder="1"/>
    <xf numFmtId="0" fontId="11" fillId="0" borderId="12" xfId="0" applyFont="1" applyBorder="1"/>
    <xf numFmtId="0" fontId="11" fillId="0" borderId="16" xfId="0" applyFont="1" applyBorder="1"/>
    <xf numFmtId="0" fontId="11" fillId="0" borderId="0" xfId="0" quotePrefix="1" applyFont="1"/>
    <xf numFmtId="0" fontId="3" fillId="0" borderId="0" xfId="0" applyFont="1" applyAlignment="1">
      <alignment horizontal="right"/>
    </xf>
    <xf numFmtId="0" fontId="1" fillId="20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3" fillId="0" borderId="0" xfId="0" applyFont="1"/>
    <xf numFmtId="0" fontId="17" fillId="3" borderId="0" xfId="0" applyFont="1" applyFill="1" applyBorder="1"/>
    <xf numFmtId="0" fontId="16" fillId="3" borderId="0" xfId="0" applyFont="1" applyFill="1" applyBorder="1" applyAlignment="1" applyProtection="1">
      <alignment horizontal="center"/>
      <protection locked="0"/>
    </xf>
    <xf numFmtId="0" fontId="16" fillId="3" borderId="0" xfId="0" applyFont="1" applyFill="1" applyProtection="1">
      <protection locked="0"/>
    </xf>
    <xf numFmtId="0" fontId="12" fillId="0" borderId="0" xfId="0" applyNumberFormat="1" applyFont="1" applyBorder="1" applyAlignment="1" applyProtection="1">
      <alignment horizontal="left"/>
      <protection locked="0"/>
    </xf>
    <xf numFmtId="0" fontId="12" fillId="0" borderId="0" xfId="0" applyFont="1" applyFill="1" applyBorder="1" applyProtection="1">
      <protection locked="0"/>
    </xf>
    <xf numFmtId="0" fontId="11" fillId="0" borderId="0" xfId="0" applyFont="1" applyFill="1" applyBorder="1" applyAlignment="1" applyProtection="1">
      <alignment horizontal="left" indent="1"/>
      <protection locked="0"/>
    </xf>
    <xf numFmtId="0" fontId="11" fillId="0" borderId="1" xfId="0" applyFont="1" applyFill="1" applyBorder="1" applyAlignment="1" applyProtection="1">
      <alignment horizontal="left" indent="1"/>
      <protection locked="0"/>
    </xf>
    <xf numFmtId="0" fontId="11" fillId="0" borderId="1" xfId="0" applyFont="1" applyFill="1" applyBorder="1" applyProtection="1">
      <protection locked="0"/>
    </xf>
    <xf numFmtId="0" fontId="11" fillId="0" borderId="1" xfId="0" applyFont="1" applyBorder="1" applyProtection="1">
      <protection locked="0"/>
    </xf>
    <xf numFmtId="0" fontId="11" fillId="0" borderId="0" xfId="0" applyFont="1" applyAlignment="1">
      <alignment horizontal="left"/>
    </xf>
    <xf numFmtId="0" fontId="11" fillId="6" borderId="0" xfId="0" applyFont="1" applyFill="1" applyBorder="1"/>
    <xf numFmtId="0" fontId="12" fillId="6" borderId="0" xfId="0" applyFont="1" applyFill="1" applyBorder="1" applyProtection="1">
      <protection locked="0"/>
    </xf>
    <xf numFmtId="0" fontId="11" fillId="6" borderId="0" xfId="0" applyFont="1" applyFill="1" applyBorder="1" applyProtection="1">
      <protection locked="0"/>
    </xf>
    <xf numFmtId="0" fontId="11" fillId="6" borderId="0" xfId="0" applyFont="1" applyFill="1" applyProtection="1"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1" fillId="0" borderId="2" xfId="0" applyFont="1" applyBorder="1" applyProtection="1">
      <protection locked="0"/>
    </xf>
    <xf numFmtId="3" fontId="12" fillId="0" borderId="0" xfId="0" applyNumberFormat="1" applyFont="1" applyAlignment="1" applyProtection="1">
      <alignment horizontal="left" indent="1"/>
      <protection locked="0"/>
    </xf>
    <xf numFmtId="3" fontId="12" fillId="0" borderId="0" xfId="0" applyNumberFormat="1" applyFont="1" applyFill="1" applyProtection="1">
      <protection locked="0"/>
    </xf>
    <xf numFmtId="3" fontId="11" fillId="0" borderId="0" xfId="0" applyNumberFormat="1" applyFont="1" applyAlignment="1" applyProtection="1">
      <alignment horizontal="left" indent="2"/>
      <protection locked="0"/>
    </xf>
    <xf numFmtId="3" fontId="12" fillId="0" borderId="14" xfId="0" applyNumberFormat="1" applyFont="1" applyBorder="1" applyAlignment="1" applyProtection="1">
      <alignment horizontal="left"/>
      <protection locked="0"/>
    </xf>
    <xf numFmtId="3" fontId="11" fillId="0" borderId="14" xfId="0" applyNumberFormat="1" applyFont="1" applyFill="1" applyBorder="1" applyProtection="1">
      <protection locked="0"/>
    </xf>
    <xf numFmtId="0" fontId="11" fillId="3" borderId="0" xfId="0" applyFont="1" applyFill="1" applyBorder="1"/>
    <xf numFmtId="0" fontId="16" fillId="3" borderId="0" xfId="0" applyFont="1" applyFill="1" applyBorder="1" applyAlignment="1">
      <alignment horizontal="center"/>
    </xf>
    <xf numFmtId="0" fontId="16" fillId="3" borderId="0" xfId="0" applyFont="1" applyFill="1" applyBorder="1" applyAlignment="1" applyProtection="1">
      <alignment horizontal="left"/>
      <protection locked="0"/>
    </xf>
    <xf numFmtId="1" fontId="16" fillId="3" borderId="0" xfId="0" applyNumberFormat="1" applyFont="1" applyFill="1" applyBorder="1" applyAlignment="1" applyProtection="1">
      <alignment horizontal="center"/>
      <protection locked="0"/>
    </xf>
    <xf numFmtId="9" fontId="11" fillId="0" borderId="14" xfId="2" applyFont="1" applyFill="1" applyBorder="1" applyProtection="1">
      <protection locked="0"/>
    </xf>
    <xf numFmtId="3" fontId="12" fillId="0" borderId="14" xfId="0" applyNumberFormat="1" applyFont="1" applyBorder="1" applyProtection="1">
      <protection locked="0"/>
    </xf>
    <xf numFmtId="3" fontId="12" fillId="0" borderId="14" xfId="0" applyNumberFormat="1" applyFont="1" applyFill="1" applyBorder="1" applyProtection="1">
      <protection locked="0"/>
    </xf>
    <xf numFmtId="9" fontId="12" fillId="0" borderId="14" xfId="2" applyFont="1" applyFill="1" applyBorder="1" applyProtection="1">
      <protection locked="0"/>
    </xf>
    <xf numFmtId="3" fontId="11" fillId="0" borderId="0" xfId="0" applyNumberFormat="1" applyFont="1" applyBorder="1" applyAlignment="1" applyProtection="1">
      <alignment horizontal="left"/>
      <protection locked="0"/>
    </xf>
    <xf numFmtId="9" fontId="11" fillId="0" borderId="0" xfId="2" applyFont="1" applyFill="1" applyBorder="1" applyProtection="1">
      <protection locked="0"/>
    </xf>
    <xf numFmtId="37" fontId="12" fillId="0" borderId="14" xfId="0" applyNumberFormat="1" applyFont="1" applyFill="1" applyBorder="1" applyProtection="1">
      <protection locked="0"/>
    </xf>
    <xf numFmtId="165" fontId="12" fillId="0" borderId="0" xfId="0" applyNumberFormat="1" applyFont="1" applyProtection="1">
      <protection locked="0"/>
    </xf>
    <xf numFmtId="165" fontId="11" fillId="0" borderId="0" xfId="0" applyNumberFormat="1" applyFont="1" applyProtection="1">
      <protection locked="0"/>
    </xf>
    <xf numFmtId="165" fontId="11" fillId="0" borderId="14" xfId="0" applyNumberFormat="1" applyFont="1" applyBorder="1" applyProtection="1">
      <protection locked="0"/>
    </xf>
    <xf numFmtId="165" fontId="12" fillId="0" borderId="14" xfId="0" applyNumberFormat="1" applyFont="1" applyBorder="1" applyProtection="1">
      <protection locked="0"/>
    </xf>
    <xf numFmtId="165" fontId="11" fillId="0" borderId="1" xfId="0" applyNumberFormat="1" applyFont="1" applyFill="1" applyBorder="1" applyProtection="1">
      <protection locked="0"/>
    </xf>
    <xf numFmtId="165" fontId="11" fillId="0" borderId="0" xfId="0" applyNumberFormat="1" applyFont="1" applyBorder="1" applyProtection="1">
      <protection locked="0"/>
    </xf>
    <xf numFmtId="165" fontId="11" fillId="0" borderId="0" xfId="0" applyNumberFormat="1" applyFont="1"/>
    <xf numFmtId="165" fontId="11" fillId="0" borderId="14" xfId="0" applyNumberFormat="1" applyFont="1" applyFill="1" applyBorder="1" applyProtection="1">
      <protection locked="0"/>
    </xf>
    <xf numFmtId="3" fontId="12" fillId="0" borderId="0" xfId="0" applyNumberFormat="1" applyFont="1" applyBorder="1" applyProtection="1">
      <protection locked="0"/>
    </xf>
    <xf numFmtId="165" fontId="11" fillId="0" borderId="0" xfId="0" applyNumberFormat="1" applyFont="1" applyFill="1" applyBorder="1" applyProtection="1">
      <protection locked="0"/>
    </xf>
    <xf numFmtId="3" fontId="12" fillId="0" borderId="14" xfId="0" applyNumberFormat="1" applyFont="1" applyFill="1" applyBorder="1" applyAlignment="1" applyProtection="1">
      <alignment horizontal="left"/>
      <protection locked="0"/>
    </xf>
    <xf numFmtId="165" fontId="12" fillId="0" borderId="14" xfId="0" applyNumberFormat="1" applyFont="1" applyFill="1" applyBorder="1" applyAlignment="1" applyProtection="1">
      <alignment horizontal="right"/>
      <protection locked="0"/>
    </xf>
    <xf numFmtId="3" fontId="12" fillId="0" borderId="0" xfId="0" applyNumberFormat="1" applyFont="1" applyBorder="1" applyAlignment="1" applyProtection="1">
      <alignment horizontal="left"/>
      <protection locked="0"/>
    </xf>
    <xf numFmtId="37" fontId="12" fillId="0" borderId="0" xfId="0" applyNumberFormat="1" applyFont="1" applyFill="1" applyBorder="1" applyProtection="1">
      <protection locked="0"/>
    </xf>
    <xf numFmtId="9" fontId="12" fillId="0" borderId="0" xfId="2" applyFont="1" applyFill="1" applyBorder="1" applyProtection="1">
      <protection locked="0"/>
    </xf>
    <xf numFmtId="165" fontId="12" fillId="0" borderId="0" xfId="0" applyNumberFormat="1" applyFont="1" applyBorder="1" applyProtection="1">
      <protection locked="0"/>
    </xf>
    <xf numFmtId="165" fontId="18" fillId="0" borderId="17" xfId="24" applyNumberFormat="1" applyFont="1" applyBorder="1"/>
    <xf numFmtId="165" fontId="12" fillId="0" borderId="17" xfId="24" applyNumberFormat="1" applyFont="1" applyBorder="1" applyAlignment="1">
      <alignment horizontal="right"/>
    </xf>
    <xf numFmtId="165" fontId="11" fillId="0" borderId="0" xfId="0" applyNumberFormat="1" applyFont="1" applyFill="1" applyProtection="1">
      <protection locked="0"/>
    </xf>
    <xf numFmtId="165" fontId="0" fillId="0" borderId="0" xfId="0" applyNumberFormat="1"/>
    <xf numFmtId="165" fontId="12" fillId="0" borderId="0" xfId="0" applyNumberFormat="1" applyFont="1" applyBorder="1" applyAlignment="1" applyProtection="1">
      <alignment horizontal="center"/>
      <protection locked="0"/>
    </xf>
    <xf numFmtId="165" fontId="11" fillId="0" borderId="1" xfId="0" applyNumberFormat="1" applyFont="1" applyBorder="1"/>
    <xf numFmtId="165" fontId="21" fillId="0" borderId="0" xfId="0" applyNumberFormat="1" applyFont="1" applyProtection="1">
      <protection locked="0"/>
    </xf>
    <xf numFmtId="165" fontId="11" fillId="6" borderId="0" xfId="0" applyNumberFormat="1" applyFont="1" applyFill="1" applyProtection="1">
      <protection locked="0"/>
    </xf>
    <xf numFmtId="165" fontId="11" fillId="0" borderId="0" xfId="1" applyNumberFormat="1" applyFont="1" applyFill="1" applyProtection="1">
      <protection locked="0"/>
    </xf>
    <xf numFmtId="165" fontId="11" fillId="0" borderId="1" xfId="1" applyNumberFormat="1" applyFont="1" applyFill="1" applyBorder="1" applyProtection="1">
      <protection locked="0"/>
    </xf>
    <xf numFmtId="165" fontId="11" fillId="0" borderId="0" xfId="2" applyNumberFormat="1" applyFont="1" applyFill="1" applyProtection="1">
      <protection locked="0"/>
    </xf>
    <xf numFmtId="165" fontId="20" fillId="0" borderId="0" xfId="0" applyNumberFormat="1" applyFont="1" applyBorder="1" applyProtection="1">
      <protection locked="0"/>
    </xf>
    <xf numFmtId="165" fontId="11" fillId="0" borderId="0" xfId="1" applyNumberFormat="1" applyFont="1" applyFill="1" applyBorder="1" applyProtection="1">
      <protection locked="0"/>
    </xf>
    <xf numFmtId="165" fontId="11" fillId="0" borderId="0" xfId="1" applyNumberFormat="1" applyFont="1" applyBorder="1" applyProtection="1">
      <protection locked="0"/>
    </xf>
    <xf numFmtId="3" fontId="12" fillId="0" borderId="2" xfId="0" applyNumberFormat="1" applyFont="1" applyBorder="1" applyProtection="1">
      <protection locked="0"/>
    </xf>
    <xf numFmtId="165" fontId="18" fillId="0" borderId="18" xfId="24" applyNumberFormat="1" applyFont="1" applyBorder="1"/>
    <xf numFmtId="165" fontId="18" fillId="0" borderId="18" xfId="24" applyNumberFormat="1" applyFont="1" applyBorder="1" applyAlignment="1">
      <alignment horizontal="center"/>
    </xf>
    <xf numFmtId="165" fontId="12" fillId="0" borderId="18" xfId="24" applyNumberFormat="1" applyFont="1" applyBorder="1"/>
    <xf numFmtId="3" fontId="22" fillId="0" borderId="0" xfId="0" applyNumberFormat="1" applyFont="1" applyAlignment="1" applyProtection="1">
      <alignment horizontal="left"/>
      <protection locked="0"/>
    </xf>
    <xf numFmtId="37" fontId="12" fillId="0" borderId="0" xfId="0" applyNumberFormat="1" applyFont="1" applyFill="1" applyProtection="1">
      <protection locked="0"/>
    </xf>
    <xf numFmtId="37" fontId="12" fillId="0" borderId="2" xfId="0" applyNumberFormat="1" applyFont="1" applyFill="1" applyBorder="1" applyProtection="1">
      <protection locked="0"/>
    </xf>
    <xf numFmtId="165" fontId="12" fillId="0" borderId="2" xfId="0" applyNumberFormat="1" applyFont="1" applyBorder="1" applyProtection="1">
      <protection locked="0"/>
    </xf>
    <xf numFmtId="3" fontId="11" fillId="0" borderId="0" xfId="0" quotePrefix="1" applyNumberFormat="1" applyFont="1" applyAlignment="1" applyProtection="1">
      <alignment horizontal="left" indent="1"/>
      <protection locked="0"/>
    </xf>
    <xf numFmtId="2" fontId="12" fillId="0" borderId="18" xfId="0" applyNumberFormat="1" applyFont="1" applyBorder="1" applyProtection="1">
      <protection locked="0"/>
    </xf>
    <xf numFmtId="0" fontId="12" fillId="0" borderId="18" xfId="0" applyFont="1" applyBorder="1"/>
    <xf numFmtId="165" fontId="12" fillId="0" borderId="18" xfId="0" applyNumberFormat="1" applyFont="1" applyFill="1" applyBorder="1" applyProtection="1">
      <protection locked="0"/>
    </xf>
    <xf numFmtId="0" fontId="11" fillId="0" borderId="14" xfId="0" applyFont="1" applyBorder="1"/>
    <xf numFmtId="165" fontId="11" fillId="0" borderId="3" xfId="0" applyNumberFormat="1" applyFont="1" applyBorder="1" applyProtection="1">
      <protection locked="0"/>
    </xf>
    <xf numFmtId="2" fontId="12" fillId="0" borderId="0" xfId="0" applyNumberFormat="1" applyFont="1" applyAlignment="1" applyProtection="1">
      <alignment horizontal="right"/>
      <protection locked="0"/>
    </xf>
    <xf numFmtId="0" fontId="5" fillId="21" borderId="0" xfId="0" applyFont="1" applyFill="1" applyBorder="1" applyAlignment="1">
      <alignment horizontal="left" indent="2"/>
    </xf>
    <xf numFmtId="0" fontId="11" fillId="21" borderId="0" xfId="0" applyFont="1" applyFill="1" applyBorder="1"/>
    <xf numFmtId="0" fontId="4" fillId="21" borderId="13" xfId="0" applyFont="1" applyFill="1" applyBorder="1" applyAlignment="1">
      <alignment horizontal="left" indent="2"/>
    </xf>
    <xf numFmtId="0" fontId="11" fillId="21" borderId="13" xfId="0" applyFont="1" applyFill="1" applyBorder="1"/>
    <xf numFmtId="0" fontId="16" fillId="21" borderId="0" xfId="0" applyFont="1" applyFill="1" applyBorder="1"/>
    <xf numFmtId="0" fontId="16" fillId="21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horizontal="left" indent="2"/>
    </xf>
    <xf numFmtId="0" fontId="4" fillId="3" borderId="13" xfId="0" applyFont="1" applyFill="1" applyBorder="1" applyAlignment="1">
      <alignment horizontal="left" indent="2"/>
    </xf>
    <xf numFmtId="0" fontId="11" fillId="3" borderId="13" xfId="0" applyFont="1" applyFill="1" applyBorder="1"/>
    <xf numFmtId="0" fontId="11" fillId="0" borderId="0" xfId="0" applyFont="1" applyAlignment="1">
      <alignment horizontal="left" indent="1"/>
    </xf>
    <xf numFmtId="0" fontId="15" fillId="0" borderId="0" xfId="3" applyFont="1" applyAlignment="1">
      <alignment horizontal="left" indent="1"/>
    </xf>
    <xf numFmtId="0" fontId="11" fillId="0" borderId="0" xfId="0" applyFont="1" applyBorder="1" applyAlignment="1" applyProtection="1">
      <alignment horizontal="left" indent="1"/>
      <protection locked="0"/>
    </xf>
    <xf numFmtId="0" fontId="12" fillId="0" borderId="2" xfId="0" applyFont="1" applyBorder="1" applyProtection="1">
      <protection locked="0"/>
    </xf>
    <xf numFmtId="165" fontId="12" fillId="0" borderId="2" xfId="1" applyNumberFormat="1" applyFont="1" applyBorder="1" applyProtection="1">
      <protection locked="0"/>
    </xf>
    <xf numFmtId="0" fontId="12" fillId="0" borderId="0" xfId="0" applyFont="1" applyBorder="1"/>
    <xf numFmtId="0" fontId="11" fillId="0" borderId="0" xfId="0" applyFont="1" applyFill="1" applyBorder="1"/>
    <xf numFmtId="165" fontId="12" fillId="0" borderId="0" xfId="1" applyNumberFormat="1" applyFont="1" applyFill="1" applyBorder="1" applyProtection="1">
      <protection locked="0"/>
    </xf>
    <xf numFmtId="0" fontId="15" fillId="0" borderId="0" xfId="3" applyFont="1" applyFill="1" applyBorder="1"/>
    <xf numFmtId="0" fontId="17" fillId="3" borderId="0" xfId="0" applyFont="1" applyFill="1"/>
    <xf numFmtId="165" fontId="17" fillId="3" borderId="0" xfId="0" applyNumberFormat="1" applyFont="1" applyFill="1" applyProtection="1">
      <protection locked="0"/>
    </xf>
    <xf numFmtId="165" fontId="18" fillId="0" borderId="0" xfId="24" applyNumberFormat="1" applyFont="1"/>
    <xf numFmtId="165" fontId="15" fillId="0" borderId="0" xfId="24" applyNumberFormat="1" applyFont="1" applyAlignment="1">
      <alignment horizontal="left" indent="1"/>
    </xf>
    <xf numFmtId="165" fontId="18" fillId="0" borderId="2" xfId="24" applyNumberFormat="1" applyFont="1" applyBorder="1"/>
    <xf numFmtId="165" fontId="18" fillId="0" borderId="0" xfId="24" applyNumberFormat="1" applyFont="1" applyBorder="1"/>
    <xf numFmtId="165" fontId="15" fillId="0" borderId="0" xfId="24" applyNumberFormat="1" applyFont="1" applyAlignment="1">
      <alignment horizontal="left"/>
    </xf>
    <xf numFmtId="165" fontId="18" fillId="0" borderId="0" xfId="24" applyNumberFormat="1" applyFont="1" applyAlignment="1">
      <alignment horizontal="left"/>
    </xf>
    <xf numFmtId="165" fontId="18" fillId="0" borderId="2" xfId="24" applyNumberFormat="1" applyFont="1" applyBorder="1" applyAlignment="1">
      <alignment horizontal="right"/>
    </xf>
    <xf numFmtId="165" fontId="18" fillId="0" borderId="0" xfId="24" applyNumberFormat="1" applyFont="1" applyBorder="1" applyAlignment="1">
      <alignment horizontal="right"/>
    </xf>
    <xf numFmtId="165" fontId="18" fillId="0" borderId="0" xfId="24" applyNumberFormat="1" applyFont="1" applyAlignment="1">
      <alignment horizontal="right"/>
    </xf>
    <xf numFmtId="165" fontId="15" fillId="0" borderId="0" xfId="24" applyNumberFormat="1" applyFont="1" applyAlignment="1">
      <alignment horizontal="right"/>
    </xf>
    <xf numFmtId="165" fontId="11" fillId="0" borderId="0" xfId="0" applyNumberFormat="1" applyFont="1" applyAlignment="1" applyProtection="1">
      <alignment horizontal="right"/>
      <protection locked="0"/>
    </xf>
    <xf numFmtId="165" fontId="11" fillId="0" borderId="0" xfId="0" applyNumberFormat="1" applyFont="1" applyBorder="1" applyAlignment="1" applyProtection="1">
      <alignment horizontal="right"/>
      <protection locked="0"/>
    </xf>
    <xf numFmtId="165" fontId="12" fillId="0" borderId="0" xfId="0" applyNumberFormat="1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left" indent="1"/>
      <protection locked="0"/>
    </xf>
    <xf numFmtId="9" fontId="11" fillId="0" borderId="3" xfId="0" applyNumberFormat="1" applyFont="1" applyBorder="1"/>
    <xf numFmtId="9" fontId="11" fillId="18" borderId="7" xfId="0" applyNumberFormat="1" applyFont="1" applyFill="1" applyBorder="1" applyAlignment="1">
      <alignment horizontal="center"/>
    </xf>
    <xf numFmtId="9" fontId="11" fillId="18" borderId="9" xfId="0" applyNumberFormat="1" applyFont="1" applyFill="1" applyBorder="1" applyAlignment="1">
      <alignment horizontal="center"/>
    </xf>
    <xf numFmtId="0" fontId="11" fillId="18" borderId="4" xfId="0" applyFont="1" applyFill="1" applyBorder="1"/>
    <xf numFmtId="0" fontId="11" fillId="18" borderId="6" xfId="0" applyFont="1" applyFill="1" applyBorder="1"/>
    <xf numFmtId="0" fontId="11" fillId="18" borderId="8" xfId="0" applyFont="1" applyFill="1" applyBorder="1"/>
    <xf numFmtId="0" fontId="12" fillId="6" borderId="0" xfId="0" applyFont="1" applyFill="1" applyBorder="1" applyAlignment="1">
      <alignment horizontal="center"/>
    </xf>
    <xf numFmtId="0" fontId="12" fillId="6" borderId="0" xfId="0" applyFont="1" applyFill="1" applyBorder="1" applyAlignment="1" applyProtection="1">
      <alignment horizontal="left"/>
      <protection locked="0"/>
    </xf>
    <xf numFmtId="1" fontId="12" fillId="6" borderId="0" xfId="0" applyNumberFormat="1" applyFont="1" applyFill="1" applyBorder="1" applyAlignment="1" applyProtection="1">
      <alignment horizontal="center"/>
      <protection locked="0"/>
    </xf>
    <xf numFmtId="165" fontId="12" fillId="0" borderId="0" xfId="0" applyNumberFormat="1" applyFont="1"/>
    <xf numFmtId="165" fontId="12" fillId="0" borderId="2" xfId="0" applyNumberFormat="1" applyFont="1" applyBorder="1"/>
    <xf numFmtId="165" fontId="12" fillId="6" borderId="0" xfId="0" applyNumberFormat="1" applyFont="1" applyFill="1" applyBorder="1" applyAlignment="1" applyProtection="1">
      <alignment horizontal="center"/>
      <protection locked="0"/>
    </xf>
    <xf numFmtId="165" fontId="11" fillId="6" borderId="0" xfId="0" applyNumberFormat="1" applyFont="1" applyFill="1" applyBorder="1"/>
    <xf numFmtId="165" fontId="11" fillId="0" borderId="4" xfId="0" applyNumberFormat="1" applyFont="1" applyBorder="1"/>
    <xf numFmtId="165" fontId="11" fillId="0" borderId="2" xfId="0" applyNumberFormat="1" applyFont="1" applyBorder="1"/>
    <xf numFmtId="165" fontId="11" fillId="0" borderId="5" xfId="0" applyNumberFormat="1" applyFont="1" applyBorder="1"/>
    <xf numFmtId="165" fontId="22" fillId="0" borderId="0" xfId="0" applyNumberFormat="1" applyFont="1"/>
    <xf numFmtId="165" fontId="11" fillId="0" borderId="6" xfId="0" applyNumberFormat="1" applyFont="1" applyBorder="1"/>
    <xf numFmtId="165" fontId="11" fillId="0" borderId="0" xfId="0" applyNumberFormat="1" applyFont="1" applyBorder="1"/>
    <xf numFmtId="165" fontId="11" fillId="0" borderId="7" xfId="0" applyNumberFormat="1" applyFont="1" applyBorder="1"/>
    <xf numFmtId="165" fontId="12" fillId="0" borderId="0" xfId="0" applyNumberFormat="1" applyFont="1" applyBorder="1"/>
    <xf numFmtId="165" fontId="11" fillId="0" borderId="8" xfId="0" applyNumberFormat="1" applyFont="1" applyBorder="1"/>
    <xf numFmtId="165" fontId="11" fillId="0" borderId="9" xfId="0" applyNumberFormat="1" applyFont="1" applyBorder="1"/>
    <xf numFmtId="165" fontId="12" fillId="0" borderId="0" xfId="1" applyNumberFormat="1" applyFont="1" applyBorder="1" applyProtection="1"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0" xfId="0" applyAlignment="1">
      <alignment horizontal="center"/>
    </xf>
    <xf numFmtId="0" fontId="12" fillId="0" borderId="2" xfId="0" applyFont="1" applyBorder="1"/>
    <xf numFmtId="9" fontId="11" fillId="0" borderId="0" xfId="0" applyNumberFormat="1" applyFont="1"/>
    <xf numFmtId="0" fontId="21" fillId="0" borderId="0" xfId="0" applyFont="1"/>
    <xf numFmtId="9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quotePrefix="1" applyFont="1" applyAlignment="1">
      <alignment horizontal="right"/>
    </xf>
    <xf numFmtId="0" fontId="0" fillId="0" borderId="2" xfId="0" applyBorder="1"/>
    <xf numFmtId="3" fontId="11" fillId="18" borderId="4" xfId="0" applyNumberFormat="1" applyFont="1" applyFill="1" applyBorder="1" applyAlignment="1">
      <alignment horizontal="center"/>
    </xf>
    <xf numFmtId="3" fontId="11" fillId="18" borderId="6" xfId="0" applyNumberFormat="1" applyFont="1" applyFill="1" applyBorder="1" applyAlignment="1">
      <alignment horizontal="center"/>
    </xf>
    <xf numFmtId="3" fontId="11" fillId="18" borderId="0" xfId="0" applyNumberFormat="1" applyFont="1" applyFill="1" applyBorder="1" applyAlignment="1">
      <alignment horizontal="center"/>
    </xf>
    <xf numFmtId="3" fontId="11" fillId="18" borderId="1" xfId="0" applyNumberFormat="1" applyFont="1" applyFill="1" applyBorder="1" applyAlignment="1">
      <alignment horizontal="center"/>
    </xf>
    <xf numFmtId="3" fontId="13" fillId="0" borderId="0" xfId="0" applyNumberFormat="1" applyFont="1" applyAlignment="1">
      <alignment horizontal="right"/>
    </xf>
    <xf numFmtId="9" fontId="11" fillId="18" borderId="5" xfId="0" applyNumberFormat="1" applyFont="1" applyFill="1" applyBorder="1" applyAlignment="1">
      <alignment horizontal="center"/>
    </xf>
    <xf numFmtId="0" fontId="11" fillId="18" borderId="6" xfId="0" applyFont="1" applyFill="1" applyBorder="1" applyAlignment="1" applyProtection="1">
      <alignment horizontal="center"/>
      <protection locked="0"/>
    </xf>
    <xf numFmtId="0" fontId="11" fillId="18" borderId="7" xfId="0" applyFont="1" applyFill="1" applyBorder="1" applyAlignment="1" applyProtection="1">
      <alignment horizontal="center"/>
      <protection locked="0"/>
    </xf>
    <xf numFmtId="3" fontId="14" fillId="0" borderId="3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left"/>
    </xf>
    <xf numFmtId="3" fontId="14" fillId="0" borderId="4" xfId="0" applyNumberFormat="1" applyFont="1" applyBorder="1" applyAlignment="1">
      <alignment horizontal="center" vertical="center"/>
    </xf>
    <xf numFmtId="9" fontId="11" fillId="18" borderId="4" xfId="0" applyNumberFormat="1" applyFont="1" applyFill="1" applyBorder="1" applyAlignment="1">
      <alignment horizontal="center"/>
    </xf>
    <xf numFmtId="9" fontId="11" fillId="18" borderId="2" xfId="0" applyNumberFormat="1" applyFont="1" applyFill="1" applyBorder="1" applyAlignment="1">
      <alignment horizontal="center"/>
    </xf>
    <xf numFmtId="9" fontId="11" fillId="18" borderId="6" xfId="0" applyNumberFormat="1" applyFont="1" applyFill="1" applyBorder="1" applyAlignment="1">
      <alignment horizontal="center"/>
    </xf>
    <xf numFmtId="9" fontId="11" fillId="18" borderId="0" xfId="0" applyNumberFormat="1" applyFont="1" applyFill="1" applyBorder="1" applyAlignment="1">
      <alignment horizontal="center"/>
    </xf>
    <xf numFmtId="9" fontId="11" fillId="18" borderId="8" xfId="0" applyNumberFormat="1" applyFont="1" applyFill="1" applyBorder="1" applyAlignment="1">
      <alignment horizontal="center"/>
    </xf>
    <xf numFmtId="9" fontId="11" fillId="18" borderId="1" xfId="0" applyNumberFormat="1" applyFont="1" applyFill="1" applyBorder="1" applyAlignment="1">
      <alignment horizontal="center"/>
    </xf>
    <xf numFmtId="9" fontId="14" fillId="0" borderId="0" xfId="0" applyNumberFormat="1" applyFont="1" applyAlignment="1">
      <alignment horizontal="right"/>
    </xf>
    <xf numFmtId="9" fontId="11" fillId="0" borderId="0" xfId="0" applyNumberFormat="1" applyFont="1" applyProtection="1">
      <protection locked="0"/>
    </xf>
    <xf numFmtId="9" fontId="14" fillId="0" borderId="0" xfId="0" applyNumberFormat="1" applyFont="1" applyAlignment="1">
      <alignment horizontal="left"/>
    </xf>
    <xf numFmtId="1" fontId="14" fillId="0" borderId="0" xfId="0" applyNumberFormat="1" applyFont="1" applyAlignment="1">
      <alignment horizontal="right"/>
    </xf>
    <xf numFmtId="43" fontId="11" fillId="6" borderId="0" xfId="0" applyNumberFormat="1" applyFont="1" applyFill="1" applyAlignment="1">
      <alignment horizontal="right"/>
    </xf>
    <xf numFmtId="43" fontId="21" fillId="23" borderId="11" xfId="0" applyNumberFormat="1" applyFont="1" applyFill="1" applyBorder="1"/>
    <xf numFmtId="43" fontId="21" fillId="23" borderId="16" xfId="0" applyNumberFormat="1" applyFont="1" applyFill="1" applyBorder="1"/>
    <xf numFmtId="43" fontId="21" fillId="23" borderId="12" xfId="0" applyNumberFormat="1" applyFont="1" applyFill="1" applyBorder="1"/>
    <xf numFmtId="0" fontId="12" fillId="4" borderId="0" xfId="0" applyFont="1" applyFill="1" applyBorder="1"/>
    <xf numFmtId="0" fontId="5" fillId="4" borderId="0" xfId="0" applyFont="1" applyFill="1" applyBorder="1" applyAlignment="1">
      <alignment horizontal="left" indent="1"/>
    </xf>
    <xf numFmtId="0" fontId="17" fillId="3" borderId="0" xfId="3" applyFont="1" applyFill="1" applyBorder="1"/>
    <xf numFmtId="0" fontId="18" fillId="6" borderId="4" xfId="3" applyFont="1" applyFill="1" applyBorder="1"/>
    <xf numFmtId="0" fontId="18" fillId="6" borderId="2" xfId="3" applyFont="1" applyFill="1" applyBorder="1"/>
    <xf numFmtId="0" fontId="18" fillId="6" borderId="5" xfId="3" applyFont="1" applyFill="1" applyBorder="1"/>
    <xf numFmtId="0" fontId="16" fillId="5" borderId="4" xfId="3" applyFont="1" applyFill="1" applyBorder="1"/>
    <xf numFmtId="0" fontId="17" fillId="5" borderId="2" xfId="3" applyFont="1" applyFill="1" applyBorder="1"/>
    <xf numFmtId="0" fontId="16" fillId="22" borderId="8" xfId="3" applyFont="1" applyFill="1" applyBorder="1"/>
    <xf numFmtId="0" fontId="17" fillId="22" borderId="1" xfId="3" applyFont="1" applyFill="1" applyBorder="1"/>
    <xf numFmtId="0" fontId="5" fillId="24" borderId="0" xfId="0" applyFont="1" applyFill="1" applyBorder="1" applyAlignment="1">
      <alignment horizontal="left" indent="2"/>
    </xf>
    <xf numFmtId="0" fontId="11" fillId="24" borderId="0" xfId="0" applyFont="1" applyFill="1" applyBorder="1"/>
    <xf numFmtId="0" fontId="4" fillId="24" borderId="13" xfId="0" applyFont="1" applyFill="1" applyBorder="1" applyAlignment="1">
      <alignment horizontal="left" indent="2"/>
    </xf>
    <xf numFmtId="0" fontId="11" fillId="24" borderId="13" xfId="0" applyFont="1" applyFill="1" applyBorder="1"/>
    <xf numFmtId="0" fontId="5" fillId="5" borderId="0" xfId="0" applyFont="1" applyFill="1" applyBorder="1" applyAlignment="1">
      <alignment horizontal="left" indent="2"/>
    </xf>
    <xf numFmtId="0" fontId="11" fillId="5" borderId="0" xfId="0" applyFont="1" applyFill="1" applyBorder="1"/>
    <xf numFmtId="0" fontId="4" fillId="5" borderId="13" xfId="0" applyFont="1" applyFill="1" applyBorder="1" applyAlignment="1">
      <alignment horizontal="left" indent="2"/>
    </xf>
    <xf numFmtId="0" fontId="11" fillId="5" borderId="13" xfId="0" applyFont="1" applyFill="1" applyBorder="1"/>
    <xf numFmtId="0" fontId="17" fillId="21" borderId="0" xfId="3" applyFont="1" applyFill="1" applyBorder="1"/>
    <xf numFmtId="0" fontId="5" fillId="22" borderId="0" xfId="0" applyFont="1" applyFill="1" applyBorder="1" applyAlignment="1">
      <alignment horizontal="left" indent="2"/>
    </xf>
    <xf numFmtId="0" fontId="11" fillId="22" borderId="0" xfId="0" applyFont="1" applyFill="1" applyBorder="1"/>
    <xf numFmtId="0" fontId="4" fillId="22" borderId="13" xfId="0" applyFont="1" applyFill="1" applyBorder="1" applyAlignment="1">
      <alignment horizontal="left" indent="2"/>
    </xf>
    <xf numFmtId="0" fontId="11" fillId="22" borderId="13" xfId="0" applyFont="1" applyFill="1" applyBorder="1"/>
    <xf numFmtId="37" fontId="11" fillId="19" borderId="0" xfId="0" applyNumberFormat="1" applyFont="1" applyFill="1" applyBorder="1" applyAlignment="1">
      <alignment horizontal="center" vertical="top"/>
    </xf>
    <xf numFmtId="37" fontId="11" fillId="19" borderId="15" xfId="0" applyNumberFormat="1" applyFont="1" applyFill="1" applyBorder="1" applyAlignment="1">
      <alignment horizontal="center" vertical="top"/>
    </xf>
    <xf numFmtId="0" fontId="11" fillId="0" borderId="0" xfId="0" quotePrefix="1" applyFont="1" applyAlignment="1">
      <alignment horizontal="center"/>
    </xf>
    <xf numFmtId="37" fontId="11" fillId="19" borderId="6" xfId="0" applyNumberFormat="1" applyFont="1" applyFill="1" applyBorder="1" applyAlignment="1">
      <alignment horizontal="center" vertical="top"/>
    </xf>
    <xf numFmtId="37" fontId="11" fillId="19" borderId="7" xfId="0" applyNumberFormat="1" applyFont="1" applyFill="1" applyBorder="1" applyAlignment="1">
      <alignment horizontal="center" vertical="top"/>
    </xf>
    <xf numFmtId="3" fontId="14" fillId="0" borderId="10" xfId="0" applyNumberFormat="1" applyFont="1" applyBorder="1" applyAlignment="1">
      <alignment horizontal="center"/>
    </xf>
    <xf numFmtId="3" fontId="14" fillId="0" borderId="14" xfId="0" applyNumberFormat="1" applyFont="1" applyBorder="1" applyAlignment="1">
      <alignment horizontal="center"/>
    </xf>
    <xf numFmtId="3" fontId="14" fillId="0" borderId="15" xfId="0" applyNumberFormat="1" applyFont="1" applyBorder="1" applyAlignment="1">
      <alignment horizontal="center"/>
    </xf>
    <xf numFmtId="3" fontId="11" fillId="18" borderId="16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6" fillId="21" borderId="6" xfId="3" applyFont="1" applyFill="1" applyBorder="1" applyAlignment="1">
      <alignment horizontal="left" vertical="center"/>
    </xf>
    <xf numFmtId="0" fontId="16" fillId="3" borderId="6" xfId="3" applyFont="1" applyFill="1" applyBorder="1" applyAlignment="1">
      <alignment horizontal="left" vertical="center"/>
    </xf>
    <xf numFmtId="11" fontId="24" fillId="0" borderId="0" xfId="5" applyNumberFormat="1" applyFont="1" applyAlignment="1">
      <alignment vertical="top" wrapText="1"/>
    </xf>
    <xf numFmtId="11" fontId="11" fillId="0" borderId="0" xfId="5" applyNumberFormat="1" applyFont="1" applyAlignment="1">
      <alignment vertical="top" wrapText="1"/>
    </xf>
    <xf numFmtId="0" fontId="11" fillId="18" borderId="4" xfId="0" applyFont="1" applyFill="1" applyBorder="1" applyAlignment="1">
      <alignment horizontal="center" vertical="center" wrapText="1"/>
    </xf>
    <xf numFmtId="0" fontId="11" fillId="18" borderId="2" xfId="0" applyFont="1" applyFill="1" applyBorder="1" applyAlignment="1">
      <alignment horizontal="center" vertical="center" wrapText="1"/>
    </xf>
    <xf numFmtId="0" fontId="11" fillId="18" borderId="5" xfId="0" applyFont="1" applyFill="1" applyBorder="1" applyAlignment="1">
      <alignment horizontal="center" vertical="center" wrapText="1"/>
    </xf>
    <xf numFmtId="0" fontId="12" fillId="0" borderId="0" xfId="0" applyFont="1" applyBorder="1" applyAlignment="1" applyProtection="1">
      <alignment horizontal="left"/>
      <protection locked="0"/>
    </xf>
  </cellXfs>
  <cellStyles count="25">
    <cellStyle name="Analysis Divider" xfId="22" xr:uid="{0032899C-C7C0-425A-9934-1E9273E78544}"/>
    <cellStyle name="Analysis Header" xfId="14" xr:uid="{A2981980-3E90-4948-A1F7-E361442E815D}"/>
    <cellStyle name="Analysis Row" xfId="15" xr:uid="{B62C2EFD-9AD7-4D5D-83A0-6498F800B925}"/>
    <cellStyle name="Comma" xfId="1" builtinId="3"/>
    <cellStyle name="Comma 2" xfId="24" xr:uid="{5404513B-6679-44CE-9A33-5E53005FD7FF}"/>
    <cellStyle name="Data Divider" xfId="20" xr:uid="{3E8A9733-1D28-432B-A44F-694AEE1CF612}"/>
    <cellStyle name="Data Header" xfId="12" xr:uid="{5B2636ED-EE96-4D25-BDD7-DB76E3D07656}"/>
    <cellStyle name="Data Row" xfId="13" xr:uid="{8E9F2666-8935-49EB-95D4-6B95EEA80AC9}"/>
    <cellStyle name="Input Divider" xfId="19" xr:uid="{4014B57E-7E7E-4606-BDDF-FC87BD6490D8}"/>
    <cellStyle name="Input Header" xfId="10" xr:uid="{29472C64-E008-435A-9BE0-3975F826B466}"/>
    <cellStyle name="Input Row" xfId="11" xr:uid="{20FAD4B7-D409-4926-B1B7-6F4013035A07}"/>
    <cellStyle name="Normal" xfId="0" builtinId="0"/>
    <cellStyle name="Normal 10" xfId="4" xr:uid="{5BBE61B6-A061-4FA9-97D3-F62984BCBC6A}"/>
    <cellStyle name="Normal 130" xfId="5" xr:uid="{A8BDB15C-BC0A-403F-AE56-0C9F33A7F526}"/>
    <cellStyle name="Normal 2" xfId="3" xr:uid="{45FEC80D-60F3-4480-B2A4-180260D77480}"/>
    <cellStyle name="Normal Divider" xfId="23" xr:uid="{546F6C5B-B335-469D-8190-96D384EC9151}"/>
    <cellStyle name="Normal Header" xfId="16" xr:uid="{8B66D528-7831-439B-8912-AF9264F8D10E}"/>
    <cellStyle name="Normal Row" xfId="17" xr:uid="{7A003A90-3DE7-4097-BC00-EAB2B7F04461}"/>
    <cellStyle name="Output Divider" xfId="21" xr:uid="{B0BDDC3C-885B-4627-8339-7B7440BB0703}"/>
    <cellStyle name="Output Header" xfId="6" xr:uid="{A700A6BE-0653-43D8-A27E-B6E3EDBCD3FD}"/>
    <cellStyle name="Output Row" xfId="7" xr:uid="{8E19D2F2-96A7-4F34-9DC9-2DC5B50031AD}"/>
    <cellStyle name="Percent" xfId="2" builtinId="5"/>
    <cellStyle name="Settings Divider" xfId="18" xr:uid="{59028D7F-E9B8-4946-9299-DB68ACD3CC6B}"/>
    <cellStyle name="Settings Header" xfId="8" xr:uid="{FE04C240-E326-4594-901E-4756D05B0591}"/>
    <cellStyle name="Settings Row" xfId="9" xr:uid="{F7C88D20-EDD6-443C-A13C-661729187AA1}"/>
  </cellStyles>
  <dxfs count="2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E7"/>
      <color rgb="FF99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360679</xdr:colOff>
      <xdr:row>0</xdr:row>
      <xdr:rowOff>0</xdr:rowOff>
    </xdr:from>
    <xdr:to>
      <xdr:col>4</xdr:col>
      <xdr:colOff>5419724</xdr:colOff>
      <xdr:row>0</xdr:row>
      <xdr:rowOff>858042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AD5AAC6-84A7-47F9-B538-B93AF000FFC5}"/>
            </a:ext>
          </a:extLst>
        </xdr:cNvPr>
        <xdr:cNvSpPr txBox="1"/>
      </xdr:nvSpPr>
      <xdr:spPr>
        <a:xfrm>
          <a:off x="1065529" y="0"/>
          <a:ext cx="7897495" cy="8580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n-US" sz="3200" b="1">
              <a:latin typeface="+mj-lt"/>
              <a:cs typeface="Arial" panose="020B0604020202020204" pitchFamily="34" charset="0"/>
            </a:rPr>
            <a:t>Department</a:t>
          </a:r>
          <a:r>
            <a:rPr lang="en-US" sz="3200" b="1" baseline="0">
              <a:latin typeface="+mj-lt"/>
              <a:cs typeface="Arial" panose="020B0604020202020204" pitchFamily="34" charset="0"/>
            </a:rPr>
            <a:t> of Commerce</a:t>
          </a:r>
          <a:br>
            <a:rPr lang="en-US" sz="3200" b="1">
              <a:latin typeface="+mj-lt"/>
              <a:cs typeface="Arial" panose="020B0604020202020204" pitchFamily="34" charset="0"/>
            </a:rPr>
          </a:br>
          <a:r>
            <a:rPr lang="en-US" sz="1100" b="1">
              <a:latin typeface="+mj-lt"/>
              <a:cs typeface="Arial" panose="020B0604020202020204" pitchFamily="34" charset="0"/>
            </a:rPr>
            <a:t>CHIPS</a:t>
          </a:r>
          <a:r>
            <a:rPr lang="en-US" sz="1100" b="1" baseline="0">
              <a:latin typeface="+mj-lt"/>
              <a:cs typeface="Arial" panose="020B0604020202020204" pitchFamily="34" charset="0"/>
            </a:rPr>
            <a:t> Incentives Program - Commercial Fabrication Facilities Pre-Application Project Forecasting - Example Tool</a:t>
          </a:r>
        </a:p>
      </xdr:txBody>
    </xdr:sp>
    <xdr:clientData/>
  </xdr:twoCellAnchor>
  <xdr:twoCellAnchor editAs="oneCell">
    <xdr:from>
      <xdr:col>0</xdr:col>
      <xdr:colOff>283370</xdr:colOff>
      <xdr:row>0</xdr:row>
      <xdr:rowOff>21907</xdr:rowOff>
    </xdr:from>
    <xdr:to>
      <xdr:col>2</xdr:col>
      <xdr:colOff>400086</xdr:colOff>
      <xdr:row>0</xdr:row>
      <xdr:rowOff>933132</xdr:rowOff>
    </xdr:to>
    <xdr:pic>
      <xdr:nvPicPr>
        <xdr:cNvPr id="3" name="Picture 2" descr="Square with rounded edges. Fill of square looks like American flag. Coming off the sides of the square are lines with unfilled circles at end. Words underneath: CHIPS for AMERICA">
          <a:extLst>
            <a:ext uri="{FF2B5EF4-FFF2-40B4-BE49-F238E27FC236}">
              <a16:creationId xmlns:a16="http://schemas.microsoft.com/office/drawing/2014/main" id="{5A4D732B-8CA5-4954-A013-DA8C0B8AE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180" y="18097"/>
          <a:ext cx="813946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an.noonan/AppData/Local/Microsoft/Windows/INetCache/Content.Outlook/V25CD6B6/SEMI%20300mm%20Fab%20Outlook%20to%202024%20-%202022_03_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jas12_nist_gov/Documents/Desktop/fact%20sheets/DOC%20-%20Financing%20Structures%20Impact%20Tool%20-%20Modified%20assumptions%20v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wgadfs-my.sharepoint.com/1_Work_Actual/Reports%20-%20Sharepoint/_Regular_Reports/World%20Fab%20Forecast%203%20year/Reports%203year%20WFF/2021_12_14_publish+12%20years/publish/SEMI_WFF_2021_4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of Changes"/>
      <sheetName val="Graphs and Tables 12-Inch"/>
      <sheetName val="Company Detail 12-inch"/>
      <sheetName val="Spending by Company"/>
      <sheetName val="Capacity by Company"/>
      <sheetName val="Definitions"/>
      <sheetName val="Methodology &amp; Scope"/>
      <sheetName val="DBDispl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Outputs &gt;&gt;"/>
      <sheetName val="Dashboard"/>
      <sheetName val="Fabrication Financing Model &gt;&gt;"/>
      <sheetName val="Control Panel"/>
      <sheetName val="JV module"/>
      <sheetName val="Assumption comparison"/>
      <sheetName val="Annual Data + Dashboards"/>
      <sheetName val="Project Finance Forecast"/>
      <sheetName val="Sector specific assumptions"/>
      <sheetName val="Depreciation schedule"/>
      <sheetName val="Modules &amp; output processing &gt;&gt;"/>
      <sheetName val="Infrastructure Module"/>
      <sheetName val="Toggles and Look-Ups &gt;&gt;"/>
      <sheetName val="Drop-downs"/>
      <sheetName val="Asssumption Sourc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tention"/>
      <sheetName val="Summary"/>
      <sheetName val="Graphs and Tables"/>
      <sheetName val="Summary of Changes"/>
      <sheetName val="Company Detail"/>
      <sheetName val="Project Spending"/>
      <sheetName val="Fabs Starting Construct"/>
      <sheetName val="Fabs Starting Operation"/>
      <sheetName val="Spending by Company"/>
      <sheetName val="Capacity by Company"/>
      <sheetName val="Cap by Foundries"/>
      <sheetName val="Cap by Wafsiz 2021"/>
      <sheetName val="Cap by Product Type 2021"/>
      <sheetName val="Cap by Geom 2021"/>
      <sheetName val="Definitions"/>
      <sheetName val="Methodology &amp; Scope"/>
      <sheetName val="DBDispl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liver Wyma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080AAE"/>
      </a:accent1>
      <a:accent2>
        <a:srgbClr val="06C9F4"/>
      </a:accent2>
      <a:accent3>
        <a:srgbClr val="949494"/>
      </a:accent3>
      <a:accent4>
        <a:srgbClr val="DCDCDC"/>
      </a:accent4>
      <a:accent5>
        <a:srgbClr val="00582D"/>
      </a:accent5>
      <a:accent6>
        <a:srgbClr val="26CF73"/>
      </a:accent6>
      <a:hlink>
        <a:srgbClr val="2C6EF2"/>
      </a:hlink>
      <a:folHlink>
        <a:srgbClr val="2C6E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12F0-A200-433A-BFA6-42218D0271B4}">
  <dimension ref="A1:H29"/>
  <sheetViews>
    <sheetView showGridLines="0" topLeftCell="A15" zoomScale="80" zoomScaleNormal="80" workbookViewId="0">
      <selection activeCell="C5" sqref="C5"/>
    </sheetView>
  </sheetViews>
  <sheetFormatPr defaultColWidth="0" defaultRowHeight="0" customHeight="1" zeroHeight="1"/>
  <cols>
    <col min="1" max="1" width="4.85546875" style="53" customWidth="1"/>
    <col min="2" max="2" width="5.42578125" style="53" customWidth="1"/>
    <col min="3" max="3" width="14.42578125" style="53" customWidth="1"/>
    <col min="4" max="4" width="26.85546875" style="53" customWidth="1"/>
    <col min="5" max="5" width="122.7109375" style="53" customWidth="1"/>
    <col min="6" max="6" width="8.85546875" style="53" customWidth="1"/>
    <col min="7" max="8" width="0" style="53" hidden="1" customWidth="1"/>
    <col min="9" max="16384" width="8.85546875" style="53" hidden="1"/>
  </cols>
  <sheetData>
    <row r="1" spans="1:6" ht="76.7" customHeight="1">
      <c r="E1"/>
    </row>
    <row r="2" spans="1:6" s="55" customFormat="1" ht="15.6">
      <c r="A2" s="54"/>
      <c r="B2" s="54"/>
      <c r="C2" s="54"/>
      <c r="D2" s="54"/>
      <c r="E2" s="54"/>
      <c r="F2" s="54"/>
    </row>
    <row r="3" spans="1:6" ht="15.6"/>
    <row r="4" spans="1:6" ht="15.6">
      <c r="B4" s="56" t="s">
        <v>0</v>
      </c>
      <c r="C4" s="57"/>
      <c r="D4" s="57"/>
      <c r="E4" s="57"/>
      <c r="F4" s="57"/>
    </row>
    <row r="5" spans="1:6" ht="15.6">
      <c r="B5" s="58"/>
      <c r="C5" s="58"/>
      <c r="D5" s="58"/>
      <c r="E5" s="58"/>
      <c r="F5" s="58"/>
    </row>
    <row r="6" spans="1:6" ht="41.25" customHeight="1">
      <c r="B6" s="58"/>
      <c r="C6" s="59" t="s">
        <v>1</v>
      </c>
      <c r="D6" s="311" t="s">
        <v>2</v>
      </c>
      <c r="E6" s="312"/>
      <c r="F6" s="58"/>
    </row>
    <row r="7" spans="1:6" ht="15.6"/>
    <row r="8" spans="1:6" ht="15.6">
      <c r="B8" s="56" t="s">
        <v>3</v>
      </c>
      <c r="C8" s="57"/>
      <c r="D8" s="57"/>
      <c r="E8" s="57"/>
      <c r="F8" s="57"/>
    </row>
    <row r="9" spans="1:6" ht="15.6"/>
    <row r="10" spans="1:6" ht="15.6">
      <c r="C10" s="60" t="s">
        <v>4</v>
      </c>
    </row>
    <row r="11" spans="1:6" ht="15.6">
      <c r="C11" s="279" t="s">
        <v>5</v>
      </c>
      <c r="D11" s="280"/>
      <c r="E11" s="281" t="s">
        <v>6</v>
      </c>
    </row>
    <row r="12" spans="1:6" ht="15.6">
      <c r="C12" s="282" t="s">
        <v>7</v>
      </c>
      <c r="D12" s="283" t="s">
        <v>8</v>
      </c>
      <c r="E12" s="63" t="str">
        <f>'Control Panel'!A2</f>
        <v>Main tab for the user that controls assumptions and inputs</v>
      </c>
    </row>
    <row r="13" spans="1:6" ht="15.6">
      <c r="C13" s="309" t="s">
        <v>9</v>
      </c>
      <c r="D13" s="294" t="s">
        <v>10</v>
      </c>
      <c r="E13" s="61" t="str">
        <f>'Assumptions Processing'!A2</f>
        <v>Helper worksheet to structure inputs for model outputs</v>
      </c>
    </row>
    <row r="14" spans="1:6" ht="15.6">
      <c r="C14" s="309"/>
      <c r="D14" s="294" t="s">
        <v>11</v>
      </c>
      <c r="E14" s="61" t="str">
        <f>'Depreciation Schedule'!A2</f>
        <v>Helper worksheet to calculate depreciation and investment tax credit</v>
      </c>
    </row>
    <row r="15" spans="1:6" ht="15.6">
      <c r="C15" s="310" t="s">
        <v>12</v>
      </c>
      <c r="D15" s="278" t="s">
        <v>13</v>
      </c>
      <c r="E15" s="61" t="str">
        <f>'Income Statement'!A2</f>
        <v>Model output summarizing income statement for the project</v>
      </c>
    </row>
    <row r="16" spans="1:6" ht="15.6">
      <c r="C16" s="310"/>
      <c r="D16" s="278" t="s">
        <v>14</v>
      </c>
      <c r="E16" s="61" t="str">
        <f>CashFlow!A2</f>
        <v>Model output summarizing a cash flow statement for the project</v>
      </c>
    </row>
    <row r="17" spans="3:5" ht="15.6">
      <c r="C17" s="310"/>
      <c r="D17" s="278" t="s">
        <v>15</v>
      </c>
      <c r="E17" s="61" t="str">
        <f>'Balance Sheet'!A2</f>
        <v>Model output summarizing a balance sheet for the project</v>
      </c>
    </row>
    <row r="18" spans="3:5" ht="15.6">
      <c r="C18" s="284" t="s">
        <v>16</v>
      </c>
      <c r="D18" s="285" t="s">
        <v>17</v>
      </c>
      <c r="E18" s="62" t="str">
        <f>'Drop-Downs'!A2</f>
        <v>Helper worksheet to define options in tool’s drop downs</v>
      </c>
    </row>
    <row r="19" spans="3:5" ht="15.6"/>
    <row r="20" spans="3:5" ht="9.9499999999999993" customHeight="1"/>
    <row r="21" spans="3:5" ht="9.9499999999999993" customHeight="1"/>
    <row r="22" spans="3:5" ht="9.9499999999999993" customHeight="1"/>
    <row r="23" spans="3:5" ht="9.9499999999999993" customHeight="1"/>
    <row r="24" spans="3:5" ht="9.9499999999999993" customHeight="1"/>
    <row r="25" spans="3:5" ht="9.9499999999999993" customHeight="1"/>
    <row r="26" spans="3:5" ht="9.9499999999999993" customHeight="1"/>
    <row r="27" spans="3:5" ht="9.9499999999999993" customHeight="1"/>
    <row r="28" spans="3:5" ht="16.149999999999999" customHeight="1"/>
    <row r="29" spans="3:5" ht="16.149999999999999" customHeight="1"/>
  </sheetData>
  <mergeCells count="3">
    <mergeCell ref="C13:C14"/>
    <mergeCell ref="C15:C17"/>
    <mergeCell ref="D6:E6"/>
  </mergeCells>
  <pageMargins left="0.7" right="0.7" top="0.75" bottom="0.75" header="0.3" footer="0.3"/>
  <pageSetup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693AE-4B94-4C0A-B77A-DA1EF000CCEA}">
  <sheetPr codeName="Sheet7">
    <tabColor theme="4"/>
    <pageSetUpPr fitToPage="1"/>
  </sheetPr>
  <dimension ref="A1:AJ201"/>
  <sheetViews>
    <sheetView showGridLines="0" zoomScale="80" zoomScaleNormal="80" workbookViewId="0">
      <pane xSplit="2" ySplit="5" topLeftCell="C6" activePane="bottomRight" state="frozen"/>
      <selection pane="bottomRight" activeCell="B26" sqref="B26"/>
      <selection pane="bottomLeft" activeCell="A6" sqref="A6"/>
      <selection pane="topRight" activeCell="C1" sqref="C1"/>
    </sheetView>
  </sheetViews>
  <sheetFormatPr defaultColWidth="8.7109375" defaultRowHeight="15.6"/>
  <cols>
    <col min="1" max="1" width="3.7109375" style="2" customWidth="1"/>
    <col min="2" max="2" width="72.28515625" style="2" bestFit="1" customWidth="1"/>
    <col min="3" max="3" width="9.140625" style="2" customWidth="1"/>
    <col min="4" max="5" width="16.140625" style="2" bestFit="1" customWidth="1"/>
    <col min="6" max="8" width="16.85546875" style="2" bestFit="1" customWidth="1"/>
    <col min="9" max="23" width="18.7109375" style="2" customWidth="1"/>
    <col min="24" max="16384" width="8.7109375" style="2"/>
  </cols>
  <sheetData>
    <row r="1" spans="1:36" s="126" customFormat="1" ht="21">
      <c r="A1" s="188" t="s">
        <v>15</v>
      </c>
    </row>
    <row r="2" spans="1:36" s="190" customFormat="1">
      <c r="A2" s="189" t="s">
        <v>216</v>
      </c>
    </row>
    <row r="3" spans="1:36">
      <c r="B3" s="245" t="str" cm="1">
        <f t="array" ref="B3">IF(MAX(ABS(D50:W50))&gt;2,"ERROR - DOES NOT BALANCE","")</f>
        <v/>
      </c>
    </row>
    <row r="4" spans="1:36" s="127" customFormat="1" ht="18" customHeight="1">
      <c r="B4" s="128" t="s">
        <v>41</v>
      </c>
      <c r="C4" s="129"/>
      <c r="D4" s="106">
        <f>'Assumptions Processing'!E2</f>
        <v>1</v>
      </c>
      <c r="E4" s="106">
        <f t="shared" ref="E4:K4" si="0">D4+1</f>
        <v>2</v>
      </c>
      <c r="F4" s="106">
        <f t="shared" si="0"/>
        <v>3</v>
      </c>
      <c r="G4" s="106">
        <f t="shared" si="0"/>
        <v>4</v>
      </c>
      <c r="H4" s="106">
        <f t="shared" si="0"/>
        <v>5</v>
      </c>
      <c r="I4" s="106">
        <f t="shared" si="0"/>
        <v>6</v>
      </c>
      <c r="J4" s="106">
        <f t="shared" si="0"/>
        <v>7</v>
      </c>
      <c r="K4" s="106">
        <f t="shared" si="0"/>
        <v>8</v>
      </c>
      <c r="L4" s="106">
        <f>K4+1</f>
        <v>9</v>
      </c>
      <c r="M4" s="106">
        <f>L4+1</f>
        <v>10</v>
      </c>
      <c r="N4" s="106">
        <f>M4+1</f>
        <v>11</v>
      </c>
      <c r="O4" s="106">
        <f>N4+1</f>
        <v>12</v>
      </c>
      <c r="P4" s="106">
        <f t="shared" ref="P4:W4" si="1">O4+1</f>
        <v>13</v>
      </c>
      <c r="Q4" s="106">
        <f t="shared" si="1"/>
        <v>14</v>
      </c>
      <c r="R4" s="106">
        <f t="shared" si="1"/>
        <v>15</v>
      </c>
      <c r="S4" s="106">
        <f t="shared" si="1"/>
        <v>16</v>
      </c>
      <c r="T4" s="106">
        <f t="shared" si="1"/>
        <v>17</v>
      </c>
      <c r="U4" s="106">
        <f t="shared" si="1"/>
        <v>18</v>
      </c>
      <c r="V4" s="106">
        <f t="shared" si="1"/>
        <v>19</v>
      </c>
      <c r="W4" s="106">
        <f t="shared" si="1"/>
        <v>20</v>
      </c>
      <c r="X4" s="106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</row>
    <row r="5" spans="1:36" ht="18" customHeight="1">
      <c r="B5" s="241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</row>
    <row r="6" spans="1:36" ht="18" customHeight="1">
      <c r="B6" s="241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</row>
    <row r="7" spans="1:36" ht="18" customHeight="1">
      <c r="B7" s="75" t="s">
        <v>217</v>
      </c>
      <c r="C7" s="10"/>
      <c r="D7" s="159" t="str">
        <f>IF(OR(D10&lt;0,E10&lt;0,F10&lt;0,G10&lt;0,H10&lt;0,I10&lt;0,J10&lt;0,K10&lt;0,L10&lt;0,M10&lt;0,N10&lt;0,O10&lt;0,W10&lt;0),"WARNING:  CASH BALANCE IS NEGATIVE IN ONE OR MORE PERIODS","   ")</f>
        <v xml:space="preserve">   </v>
      </c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43"/>
      <c r="Y7" s="143"/>
      <c r="Z7" s="143"/>
      <c r="AA7" s="143"/>
      <c r="AB7" s="143"/>
      <c r="AC7" s="143"/>
      <c r="AD7" s="143"/>
    </row>
    <row r="8" spans="1:36" s="77" customFormat="1" ht="18" customHeight="1">
      <c r="B8" s="74"/>
      <c r="C8" s="72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43"/>
      <c r="Y8" s="143"/>
      <c r="Z8" s="143"/>
      <c r="AA8" s="143"/>
      <c r="AB8" s="143"/>
      <c r="AC8" s="143"/>
      <c r="AD8" s="143"/>
      <c r="AE8" s="2"/>
      <c r="AF8" s="2"/>
      <c r="AG8" s="2"/>
      <c r="AH8" s="2"/>
      <c r="AI8" s="2"/>
      <c r="AJ8" s="2"/>
    </row>
    <row r="9" spans="1:36" s="77" customFormat="1" ht="18" customHeight="1">
      <c r="B9" s="78" t="s">
        <v>218</v>
      </c>
      <c r="C9" s="72"/>
      <c r="D9" s="143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43"/>
      <c r="Y9" s="143"/>
      <c r="Z9" s="143"/>
      <c r="AA9" s="143"/>
      <c r="AB9" s="143"/>
      <c r="AC9" s="143"/>
      <c r="AD9" s="143"/>
      <c r="AE9" s="2"/>
      <c r="AF9" s="2"/>
      <c r="AG9" s="2"/>
      <c r="AH9" s="2"/>
      <c r="AI9" s="2"/>
      <c r="AJ9" s="2"/>
    </row>
    <row r="10" spans="1:36" s="77" customFormat="1" ht="18" customHeight="1">
      <c r="B10" s="80" t="s">
        <v>219</v>
      </c>
      <c r="C10" s="90"/>
      <c r="D10" s="138">
        <f>CashFlow!D37</f>
        <v>1937916666.6666665</v>
      </c>
      <c r="E10" s="138">
        <f>CashFlow!E37</f>
        <v>2210353555.5555553</v>
      </c>
      <c r="F10" s="138">
        <f>CashFlow!F37</f>
        <v>3236610580.6098166</v>
      </c>
      <c r="G10" s="138">
        <f>CashFlow!G37</f>
        <v>4045177959.708807</v>
      </c>
      <c r="H10" s="138">
        <f>CashFlow!H37</f>
        <v>150000000.00000039</v>
      </c>
      <c r="I10" s="138">
        <f>CashFlow!I37</f>
        <v>149999999.99999988</v>
      </c>
      <c r="J10" s="138">
        <f>CashFlow!J37</f>
        <v>150000000.00000024</v>
      </c>
      <c r="K10" s="138">
        <f>CashFlow!K37</f>
        <v>149999999.99999994</v>
      </c>
      <c r="L10" s="138">
        <f>CashFlow!L37</f>
        <v>149999999.99999997</v>
      </c>
      <c r="M10" s="138">
        <f>CashFlow!M37</f>
        <v>150000000.00000012</v>
      </c>
      <c r="N10" s="138">
        <f>CashFlow!N37</f>
        <v>150000000.00000012</v>
      </c>
      <c r="O10" s="138">
        <f>CashFlow!O37</f>
        <v>150000000.00000012</v>
      </c>
      <c r="P10" s="138">
        <f>CashFlow!P37</f>
        <v>150000000.00000012</v>
      </c>
      <c r="Q10" s="138">
        <f>CashFlow!Q37</f>
        <v>150000000.00000012</v>
      </c>
      <c r="R10" s="138">
        <f>CashFlow!R37</f>
        <v>150000000.00000012</v>
      </c>
      <c r="S10" s="138">
        <f>CashFlow!S37</f>
        <v>150000000.00000012</v>
      </c>
      <c r="T10" s="138">
        <f>CashFlow!T37</f>
        <v>150000000.00000012</v>
      </c>
      <c r="U10" s="138">
        <f>CashFlow!U37</f>
        <v>150000000.00000012</v>
      </c>
      <c r="V10" s="138">
        <f>CashFlow!V37</f>
        <v>150000000.00000012</v>
      </c>
      <c r="W10" s="138">
        <f>CashFlow!W37</f>
        <v>150000000.00000012</v>
      </c>
      <c r="X10" s="143"/>
      <c r="Y10" s="143"/>
      <c r="Z10" s="143"/>
      <c r="AA10" s="143"/>
      <c r="AB10" s="143"/>
      <c r="AC10" s="143"/>
      <c r="AD10" s="143"/>
      <c r="AE10" s="2"/>
      <c r="AF10" s="2"/>
      <c r="AG10" s="2"/>
      <c r="AH10" s="2"/>
      <c r="AI10" s="2"/>
      <c r="AJ10" s="2"/>
    </row>
    <row r="11" spans="1:36" s="77" customFormat="1" ht="18" customHeight="1">
      <c r="B11" s="80" t="s">
        <v>220</v>
      </c>
      <c r="C11" s="93"/>
      <c r="D11" s="138">
        <f>-CashFlow!D36</f>
        <v>0</v>
      </c>
      <c r="E11" s="138">
        <f>D11-CashFlow!E36</f>
        <v>0</v>
      </c>
      <c r="F11" s="138">
        <f>E11-CashFlow!F36</f>
        <v>92114863.834628031</v>
      </c>
      <c r="G11" s="138">
        <f>F11-CashFlow!G36</f>
        <v>96720607.026359439</v>
      </c>
      <c r="H11" s="138">
        <f>G11-CashFlow!H36</f>
        <v>101556637.37767741</v>
      </c>
      <c r="I11" s="138">
        <f>H11-CashFlow!I36</f>
        <v>106634469.24656129</v>
      </c>
      <c r="J11" s="138">
        <f>I11-CashFlow!J36</f>
        <v>111966192.70888937</v>
      </c>
      <c r="K11" s="138">
        <f>J11-CashFlow!K36</f>
        <v>117564502.34433383</v>
      </c>
      <c r="L11" s="138">
        <f>K11-CashFlow!L36</f>
        <v>123442727.4615505</v>
      </c>
      <c r="M11" s="138">
        <f>L11-CashFlow!M36</f>
        <v>0</v>
      </c>
      <c r="N11" s="138">
        <f>M11-CashFlow!N36</f>
        <v>0</v>
      </c>
      <c r="O11" s="138">
        <f>N11-CashFlow!O36</f>
        <v>0</v>
      </c>
      <c r="P11" s="138">
        <f>O11-CashFlow!P36</f>
        <v>0</v>
      </c>
      <c r="Q11" s="138">
        <f>P11-CashFlow!Q36</f>
        <v>0</v>
      </c>
      <c r="R11" s="138">
        <f>Q11-CashFlow!R36</f>
        <v>0</v>
      </c>
      <c r="S11" s="138">
        <f>R11-CashFlow!S36</f>
        <v>0</v>
      </c>
      <c r="T11" s="138">
        <f>S11-CashFlow!T36</f>
        <v>0</v>
      </c>
      <c r="U11" s="138">
        <f>T11-CashFlow!U36</f>
        <v>0</v>
      </c>
      <c r="V11" s="138">
        <f>U11-CashFlow!V36</f>
        <v>0</v>
      </c>
      <c r="W11" s="138">
        <f>V11-CashFlow!W36</f>
        <v>0</v>
      </c>
      <c r="X11" s="143"/>
      <c r="Y11" s="143"/>
      <c r="Z11" s="143"/>
      <c r="AA11" s="143"/>
      <c r="AB11" s="143"/>
      <c r="AC11" s="143"/>
      <c r="AD11" s="143"/>
      <c r="AE11" s="2"/>
      <c r="AF11" s="2"/>
      <c r="AG11" s="2"/>
      <c r="AH11" s="2"/>
      <c r="AI11" s="2"/>
      <c r="AJ11" s="2"/>
    </row>
    <row r="12" spans="1:36" s="77" customFormat="1" ht="18" customHeight="1">
      <c r="B12" s="80" t="s">
        <v>221</v>
      </c>
      <c r="C12" s="90"/>
      <c r="D12" s="138">
        <f>('Income Statement'!E11/360)*'Control Panel'!$C$85</f>
        <v>0</v>
      </c>
      <c r="E12" s="138">
        <f>('Income Statement'!F11/360)*'Control Panel'!$C$85</f>
        <v>106666666.66666667</v>
      </c>
      <c r="F12" s="138">
        <f>('Income Statement'!G11/360)*'Control Panel'!$C$85</f>
        <v>202666666.66666669</v>
      </c>
      <c r="G12" s="138">
        <f>('Income Statement'!H11/360)*'Control Panel'!$C$85</f>
        <v>288800000</v>
      </c>
      <c r="H12" s="138">
        <f>('Income Statement'!I11/360)*'Control Panel'!$C$85</f>
        <v>274359999.99999994</v>
      </c>
      <c r="I12" s="138">
        <f>('Income Statement'!J11/360)*'Control Panel'!$C$85</f>
        <v>260641999.99999997</v>
      </c>
      <c r="J12" s="138">
        <f>('Income Statement'!K11/360)*'Control Panel'!$C$85</f>
        <v>247609899.99999997</v>
      </c>
      <c r="K12" s="138">
        <f>('Income Statement'!L11/360)*'Control Panel'!$C$85</f>
        <v>235229404.99999994</v>
      </c>
      <c r="L12" s="138">
        <f>('Income Statement'!M11/360)*'Control Panel'!$C$85</f>
        <v>223467934.75</v>
      </c>
      <c r="M12" s="138">
        <f>('Income Statement'!N11/360)*'Control Panel'!$C$85</f>
        <v>212294538.01249999</v>
      </c>
      <c r="N12" s="138">
        <f>('Income Statement'!O11/360)*'Control Panel'!$C$85</f>
        <v>201679811.11187497</v>
      </c>
      <c r="O12" s="138">
        <f>('Income Statement'!P11/360)*'Control Panel'!$C$85</f>
        <v>191595820.55628127</v>
      </c>
      <c r="P12" s="138">
        <f>('Income Statement'!Q11/360)*'Control Panel'!$C$85</f>
        <v>182016029.52846715</v>
      </c>
      <c r="Q12" s="138">
        <f>('Income Statement'!R11/360)*'Control Panel'!$C$85</f>
        <v>172915228.05204377</v>
      </c>
      <c r="R12" s="138">
        <f>('Income Statement'!S11/360)*'Control Panel'!$C$85</f>
        <v>164269466.6494416</v>
      </c>
      <c r="S12" s="138">
        <f>('Income Statement'!T11/360)*'Control Panel'!$C$85</f>
        <v>156055993.31696951</v>
      </c>
      <c r="T12" s="138">
        <f>('Income Statement'!U11/360)*'Control Panel'!$C$85</f>
        <v>148253193.65112105</v>
      </c>
      <c r="U12" s="138">
        <f>('Income Statement'!V11/360)*'Control Panel'!$C$85</f>
        <v>140840533.96856499</v>
      </c>
      <c r="V12" s="138">
        <f>('Income Statement'!W11/360)*'Control Panel'!$C$85</f>
        <v>133798507.27013676</v>
      </c>
      <c r="W12" s="138">
        <f>('Income Statement'!X11/360)*'Control Panel'!$C$85</f>
        <v>127108581.90662993</v>
      </c>
      <c r="X12" s="143"/>
      <c r="Y12" s="143"/>
      <c r="Z12" s="143"/>
      <c r="AA12" s="143"/>
      <c r="AB12" s="143"/>
      <c r="AC12" s="143"/>
      <c r="AD12" s="143"/>
      <c r="AE12" s="2"/>
      <c r="AF12" s="2"/>
      <c r="AG12" s="2"/>
      <c r="AH12" s="2"/>
      <c r="AI12" s="2"/>
      <c r="AJ12" s="2"/>
    </row>
    <row r="13" spans="1:36" s="77" customFormat="1" ht="18" customHeight="1">
      <c r="B13" s="80" t="s">
        <v>222</v>
      </c>
      <c r="C13" s="90"/>
      <c r="D13" s="138">
        <f>('Income Statement'!E14/360)*'Control Panel'!$C$86</f>
        <v>0</v>
      </c>
      <c r="E13" s="138">
        <f>('Income Statement'!F14/360)*'Control Panel'!F86</f>
        <v>0</v>
      </c>
      <c r="F13" s="138">
        <f>('Income Statement'!G14/360)*'Control Panel'!G86</f>
        <v>0</v>
      </c>
      <c r="G13" s="138">
        <f>('Income Statement'!H14/360)*'Control Panel'!H86</f>
        <v>0</v>
      </c>
      <c r="H13" s="138">
        <f>('Income Statement'!I14/360)*'Control Panel'!I86</f>
        <v>0</v>
      </c>
      <c r="I13" s="138">
        <f>('Income Statement'!J14/360)*'Control Panel'!J86</f>
        <v>0</v>
      </c>
      <c r="J13" s="138">
        <f>('Income Statement'!K14/360)*'Control Panel'!K86</f>
        <v>0</v>
      </c>
      <c r="K13" s="138">
        <f>('Income Statement'!L14/360)*'Control Panel'!L86</f>
        <v>0</v>
      </c>
      <c r="L13" s="138">
        <f>('Income Statement'!M14/360)*'Control Panel'!M86</f>
        <v>0</v>
      </c>
      <c r="M13" s="138">
        <f>('Income Statement'!N14/360)*'Control Panel'!N86</f>
        <v>0</v>
      </c>
      <c r="N13" s="138">
        <f>('Income Statement'!O14/360)*'Control Panel'!O86</f>
        <v>0</v>
      </c>
      <c r="O13" s="138">
        <f>('Income Statement'!P14/360)*'Control Panel'!P86</f>
        <v>0</v>
      </c>
      <c r="P13" s="138">
        <f>('Income Statement'!Q14/360)*'Control Panel'!Q86</f>
        <v>0</v>
      </c>
      <c r="Q13" s="138">
        <f>('Income Statement'!R14/360)*'Control Panel'!R86</f>
        <v>0</v>
      </c>
      <c r="R13" s="138">
        <f>('Income Statement'!S14/360)*'Control Panel'!S86</f>
        <v>0</v>
      </c>
      <c r="S13" s="138">
        <f>('Income Statement'!T14/360)*'Control Panel'!T86</f>
        <v>0</v>
      </c>
      <c r="T13" s="138">
        <f>('Income Statement'!U14/360)*'Control Panel'!U86</f>
        <v>0</v>
      </c>
      <c r="U13" s="138">
        <f>('Income Statement'!V14/360)*'Control Panel'!V86</f>
        <v>0</v>
      </c>
      <c r="V13" s="138">
        <f>('Income Statement'!W14/360)*'Control Panel'!W86</f>
        <v>0</v>
      </c>
      <c r="W13" s="138">
        <f>('Income Statement'!X14/360)*'Control Panel'!X86</f>
        <v>0</v>
      </c>
      <c r="X13" s="143"/>
      <c r="Y13" s="143"/>
      <c r="Z13" s="143"/>
      <c r="AA13" s="143"/>
      <c r="AB13" s="143"/>
      <c r="AC13" s="143"/>
      <c r="AD13" s="143"/>
      <c r="AE13" s="2"/>
      <c r="AF13" s="2"/>
      <c r="AG13" s="2"/>
      <c r="AH13" s="2"/>
      <c r="AI13" s="2"/>
      <c r="AJ13" s="2"/>
    </row>
    <row r="14" spans="1:36" s="77" customFormat="1" ht="18" customHeight="1">
      <c r="B14" s="167" t="s">
        <v>223</v>
      </c>
      <c r="C14" s="173"/>
      <c r="D14" s="174">
        <f t="shared" ref="D14:W14" si="2">SUM(D10:D13)</f>
        <v>1937916666.6666665</v>
      </c>
      <c r="E14" s="174">
        <f t="shared" si="2"/>
        <v>2317020222.2222219</v>
      </c>
      <c r="F14" s="174">
        <f t="shared" si="2"/>
        <v>3531392111.1111112</v>
      </c>
      <c r="G14" s="174">
        <f t="shared" si="2"/>
        <v>4430698566.7351665</v>
      </c>
      <c r="H14" s="174">
        <f t="shared" si="2"/>
        <v>525916637.37767774</v>
      </c>
      <c r="I14" s="174">
        <f t="shared" si="2"/>
        <v>517276469.24656117</v>
      </c>
      <c r="J14" s="174">
        <f t="shared" si="2"/>
        <v>509576092.7088896</v>
      </c>
      <c r="K14" s="174">
        <f t="shared" si="2"/>
        <v>502793907.34433371</v>
      </c>
      <c r="L14" s="174">
        <f t="shared" si="2"/>
        <v>496910662.21155047</v>
      </c>
      <c r="M14" s="174">
        <f t="shared" si="2"/>
        <v>362294538.01250011</v>
      </c>
      <c r="N14" s="174">
        <f t="shared" si="2"/>
        <v>351679811.11187506</v>
      </c>
      <c r="O14" s="174">
        <f t="shared" si="2"/>
        <v>341595820.55628139</v>
      </c>
      <c r="P14" s="174">
        <f t="shared" si="2"/>
        <v>332016029.5284673</v>
      </c>
      <c r="Q14" s="174">
        <f t="shared" si="2"/>
        <v>322915228.05204391</v>
      </c>
      <c r="R14" s="174">
        <f t="shared" si="2"/>
        <v>314269466.64944172</v>
      </c>
      <c r="S14" s="174">
        <f t="shared" si="2"/>
        <v>306055993.31696963</v>
      </c>
      <c r="T14" s="174">
        <f t="shared" si="2"/>
        <v>298253193.65112114</v>
      </c>
      <c r="U14" s="174">
        <f t="shared" si="2"/>
        <v>290840533.96856511</v>
      </c>
      <c r="V14" s="174">
        <f t="shared" si="2"/>
        <v>283798507.27013689</v>
      </c>
      <c r="W14" s="174">
        <f t="shared" si="2"/>
        <v>277108581.90663004</v>
      </c>
      <c r="X14" s="143"/>
      <c r="Y14" s="143"/>
      <c r="Z14" s="143"/>
      <c r="AA14" s="143"/>
      <c r="AB14" s="143"/>
      <c r="AC14" s="143"/>
      <c r="AD14" s="143"/>
      <c r="AE14" s="2"/>
      <c r="AF14" s="2"/>
      <c r="AG14" s="2"/>
      <c r="AH14" s="2"/>
      <c r="AI14" s="2"/>
      <c r="AJ14" s="2"/>
    </row>
    <row r="15" spans="1:36" s="77" customFormat="1" ht="18" customHeight="1">
      <c r="B15" s="74"/>
      <c r="C15" s="93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43"/>
      <c r="Y15" s="143"/>
      <c r="Z15" s="143"/>
      <c r="AA15" s="143"/>
      <c r="AB15" s="143"/>
      <c r="AC15" s="143"/>
      <c r="AD15" s="143"/>
      <c r="AE15" s="2"/>
      <c r="AF15" s="2"/>
      <c r="AG15" s="2"/>
      <c r="AH15" s="2"/>
      <c r="AI15" s="2"/>
      <c r="AJ15" s="2"/>
    </row>
    <row r="16" spans="1:36" s="77" customFormat="1" ht="18" customHeight="1">
      <c r="B16" s="78" t="s">
        <v>224</v>
      </c>
      <c r="C16" s="93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43"/>
      <c r="Y16" s="143"/>
      <c r="Z16" s="143"/>
      <c r="AA16" s="143"/>
      <c r="AB16" s="143"/>
      <c r="AC16" s="143"/>
      <c r="AD16" s="143"/>
      <c r="AE16" s="2"/>
      <c r="AF16" s="2"/>
      <c r="AG16" s="2"/>
      <c r="AH16" s="2"/>
      <c r="AI16" s="2"/>
      <c r="AJ16" s="2"/>
    </row>
    <row r="17" spans="2:36" s="77" customFormat="1" ht="18" customHeight="1">
      <c r="B17" s="80" t="str">
        <f>'Assumptions Processing'!B6</f>
        <v>Land</v>
      </c>
      <c r="C17" s="93"/>
      <c r="D17" s="138">
        <f>'Assumptions Processing'!E6</f>
        <v>100000000</v>
      </c>
      <c r="E17" s="138">
        <f>D17+'Assumptions Processing'!F6</f>
        <v>100000000</v>
      </c>
      <c r="F17" s="138">
        <f>E17+'Assumptions Processing'!G6</f>
        <v>100000000</v>
      </c>
      <c r="G17" s="138">
        <f>F17+'Assumptions Processing'!H6</f>
        <v>100000000</v>
      </c>
      <c r="H17" s="138">
        <f>G17+'Assumptions Processing'!I6</f>
        <v>100000000</v>
      </c>
      <c r="I17" s="138">
        <f>H17+'Assumptions Processing'!J6</f>
        <v>100000000</v>
      </c>
      <c r="J17" s="138">
        <f>I17+'Assumptions Processing'!K6</f>
        <v>100000000</v>
      </c>
      <c r="K17" s="138">
        <f>J17+'Assumptions Processing'!L6</f>
        <v>100000000</v>
      </c>
      <c r="L17" s="138">
        <f>K17+'Assumptions Processing'!M6</f>
        <v>100000000</v>
      </c>
      <c r="M17" s="138">
        <f>L17+'Assumptions Processing'!N6</f>
        <v>100000000</v>
      </c>
      <c r="N17" s="138">
        <f>M17+'Assumptions Processing'!O6</f>
        <v>100000000</v>
      </c>
      <c r="O17" s="138">
        <f>N17+'Assumptions Processing'!P6</f>
        <v>100000000</v>
      </c>
      <c r="P17" s="138">
        <f>O17+'Assumptions Processing'!Q6</f>
        <v>100000000</v>
      </c>
      <c r="Q17" s="138">
        <f>P17+'Assumptions Processing'!R6</f>
        <v>100000000</v>
      </c>
      <c r="R17" s="138">
        <f>Q17+'Assumptions Processing'!S6</f>
        <v>100000000</v>
      </c>
      <c r="S17" s="138">
        <f>R17+'Assumptions Processing'!T6</f>
        <v>100000000</v>
      </c>
      <c r="T17" s="138">
        <f>S17+'Assumptions Processing'!U6</f>
        <v>100000000</v>
      </c>
      <c r="U17" s="138">
        <f>T17+'Assumptions Processing'!V6</f>
        <v>100000000</v>
      </c>
      <c r="V17" s="138">
        <f>U17+'Assumptions Processing'!W6</f>
        <v>100000000</v>
      </c>
      <c r="W17" s="138">
        <f>V17+'Assumptions Processing'!X6</f>
        <v>100000000</v>
      </c>
      <c r="X17" s="143"/>
      <c r="Y17" s="143"/>
      <c r="Z17" s="143"/>
      <c r="AA17" s="143"/>
      <c r="AB17" s="143"/>
      <c r="AC17" s="143"/>
      <c r="AD17" s="143"/>
      <c r="AE17" s="2"/>
      <c r="AF17" s="2"/>
      <c r="AG17" s="2"/>
      <c r="AH17" s="2"/>
      <c r="AI17" s="2"/>
      <c r="AJ17" s="2"/>
    </row>
    <row r="18" spans="2:36" s="77" customFormat="1" ht="18" customHeight="1">
      <c r="B18" s="80" t="str">
        <f>'Assumptions Processing'!B7</f>
        <v>Construction</v>
      </c>
      <c r="C18" s="93"/>
      <c r="D18" s="138">
        <f>'Assumptions Processing'!E7</f>
        <v>550000000</v>
      </c>
      <c r="E18" s="138">
        <f>D18+'Assumptions Processing'!F7</f>
        <v>1100000000</v>
      </c>
      <c r="F18" s="138">
        <f>E18+'Assumptions Processing'!G7</f>
        <v>1100000000</v>
      </c>
      <c r="G18" s="138">
        <f>F18+'Assumptions Processing'!H7</f>
        <v>1100000000</v>
      </c>
      <c r="H18" s="138">
        <f>G18+'Assumptions Processing'!I7</f>
        <v>1100000000</v>
      </c>
      <c r="I18" s="138">
        <f>H18+'Assumptions Processing'!J7</f>
        <v>1100000000</v>
      </c>
      <c r="J18" s="138">
        <f>I18+'Assumptions Processing'!K7</f>
        <v>1100000000</v>
      </c>
      <c r="K18" s="138">
        <f>J18+'Assumptions Processing'!L7</f>
        <v>1100000000</v>
      </c>
      <c r="L18" s="138">
        <f>K18+'Assumptions Processing'!M7</f>
        <v>1100000000</v>
      </c>
      <c r="M18" s="138">
        <f>L18+'Assumptions Processing'!N7</f>
        <v>1100000000</v>
      </c>
      <c r="N18" s="138">
        <f>M18+'Assumptions Processing'!O7</f>
        <v>1100000000</v>
      </c>
      <c r="O18" s="138">
        <f>N18+'Assumptions Processing'!P7</f>
        <v>1100000000</v>
      </c>
      <c r="P18" s="138">
        <f>O18+'Assumptions Processing'!Q7</f>
        <v>1100000000</v>
      </c>
      <c r="Q18" s="138">
        <f>P18+'Assumptions Processing'!R7</f>
        <v>1100000000</v>
      </c>
      <c r="R18" s="138">
        <f>Q18+'Assumptions Processing'!S7</f>
        <v>1100000000</v>
      </c>
      <c r="S18" s="138">
        <f>R18+'Assumptions Processing'!T7</f>
        <v>1100000000</v>
      </c>
      <c r="T18" s="138">
        <f>S18+'Assumptions Processing'!U7</f>
        <v>1100000000</v>
      </c>
      <c r="U18" s="138">
        <f>T18+'Assumptions Processing'!V7</f>
        <v>1100000000</v>
      </c>
      <c r="V18" s="138">
        <f>U18+'Assumptions Processing'!W7</f>
        <v>1100000000</v>
      </c>
      <c r="W18" s="138">
        <f>V18+'Assumptions Processing'!X7</f>
        <v>1100000000</v>
      </c>
      <c r="X18" s="143"/>
      <c r="Y18" s="143"/>
      <c r="Z18" s="143"/>
      <c r="AA18" s="143"/>
      <c r="AB18" s="143"/>
      <c r="AC18" s="143"/>
      <c r="AD18" s="143"/>
      <c r="AE18" s="2"/>
      <c r="AF18" s="2"/>
      <c r="AG18" s="2"/>
      <c r="AH18" s="2"/>
      <c r="AI18" s="2"/>
      <c r="AJ18" s="2"/>
    </row>
    <row r="19" spans="2:36" s="77" customFormat="1" ht="18" customHeight="1">
      <c r="B19" s="80" t="str">
        <f>'Assumptions Processing'!B8</f>
        <v>Equipment</v>
      </c>
      <c r="C19" s="93"/>
      <c r="D19" s="138">
        <f>'Assumptions Processing'!E8</f>
        <v>0</v>
      </c>
      <c r="E19" s="138">
        <f>D19+'Assumptions Processing'!F8</f>
        <v>3000000000</v>
      </c>
      <c r="F19" s="138">
        <f>E19+'Assumptions Processing'!G8</f>
        <v>6000000000</v>
      </c>
      <c r="G19" s="138">
        <f>F19+'Assumptions Processing'!H8</f>
        <v>6000000000</v>
      </c>
      <c r="H19" s="138">
        <f>G19+'Assumptions Processing'!I8</f>
        <v>6000000000</v>
      </c>
      <c r="I19" s="138">
        <f>H19+'Assumptions Processing'!J8</f>
        <v>6000000000</v>
      </c>
      <c r="J19" s="138">
        <f>I19+'Assumptions Processing'!K8</f>
        <v>6000000000</v>
      </c>
      <c r="K19" s="138">
        <f>J19+'Assumptions Processing'!L8</f>
        <v>6000000000</v>
      </c>
      <c r="L19" s="138">
        <f>K19+'Assumptions Processing'!M8</f>
        <v>6000000000</v>
      </c>
      <c r="M19" s="138">
        <f>L19+'Assumptions Processing'!N8</f>
        <v>6000000000</v>
      </c>
      <c r="N19" s="138">
        <f>M19+'Assumptions Processing'!O8</f>
        <v>6000000000</v>
      </c>
      <c r="O19" s="138">
        <f>N19+'Assumptions Processing'!P8</f>
        <v>6000000000</v>
      </c>
      <c r="P19" s="138">
        <f>O19+'Assumptions Processing'!Q8</f>
        <v>6000000000</v>
      </c>
      <c r="Q19" s="138">
        <f>P19+'Assumptions Processing'!R8</f>
        <v>6000000000</v>
      </c>
      <c r="R19" s="138">
        <f>Q19+'Assumptions Processing'!S8</f>
        <v>6000000000</v>
      </c>
      <c r="S19" s="138">
        <f>R19+'Assumptions Processing'!T8</f>
        <v>6000000000</v>
      </c>
      <c r="T19" s="138">
        <f>S19+'Assumptions Processing'!U8</f>
        <v>6000000000</v>
      </c>
      <c r="U19" s="138">
        <f>T19+'Assumptions Processing'!V8</f>
        <v>6000000000</v>
      </c>
      <c r="V19" s="138">
        <f>U19+'Assumptions Processing'!W8</f>
        <v>6000000000</v>
      </c>
      <c r="W19" s="138">
        <f>V19+'Assumptions Processing'!X8</f>
        <v>6000000000</v>
      </c>
      <c r="X19" s="143"/>
      <c r="Y19" s="143"/>
      <c r="Z19" s="143"/>
      <c r="AA19" s="143"/>
      <c r="AB19" s="143"/>
      <c r="AC19" s="143"/>
      <c r="AD19" s="143"/>
      <c r="AE19" s="2"/>
      <c r="AF19" s="2"/>
      <c r="AG19" s="2"/>
      <c r="AH19" s="2"/>
      <c r="AI19" s="2"/>
      <c r="AJ19" s="2"/>
    </row>
    <row r="20" spans="2:36" s="77" customFormat="1" ht="18" customHeight="1">
      <c r="B20" s="80" t="str">
        <f>'Assumptions Processing'!B9</f>
        <v>Administrative Expenses directly attributable to facility construction</v>
      </c>
      <c r="C20" s="93"/>
      <c r="D20" s="138">
        <f>'Assumptions Processing'!E9</f>
        <v>25000000</v>
      </c>
      <c r="E20" s="138">
        <f>D20+'Assumptions Processing'!F9</f>
        <v>50000000</v>
      </c>
      <c r="F20" s="138">
        <f>E20+'Assumptions Processing'!G9</f>
        <v>100000000</v>
      </c>
      <c r="G20" s="138">
        <f>F20+'Assumptions Processing'!H9</f>
        <v>100000000</v>
      </c>
      <c r="H20" s="138">
        <f>G20+'Assumptions Processing'!I9</f>
        <v>100000000</v>
      </c>
      <c r="I20" s="138">
        <f>H20+'Assumptions Processing'!J9</f>
        <v>100000000</v>
      </c>
      <c r="J20" s="138">
        <f>I20+'Assumptions Processing'!K9</f>
        <v>100000000</v>
      </c>
      <c r="K20" s="138">
        <f>J20+'Assumptions Processing'!L9</f>
        <v>100000000</v>
      </c>
      <c r="L20" s="138">
        <f>K20+'Assumptions Processing'!M9</f>
        <v>100000000</v>
      </c>
      <c r="M20" s="138">
        <f>L20+'Assumptions Processing'!N9</f>
        <v>100000000</v>
      </c>
      <c r="N20" s="138">
        <f>M20+'Assumptions Processing'!O9</f>
        <v>100000000</v>
      </c>
      <c r="O20" s="138">
        <f>N20+'Assumptions Processing'!P9</f>
        <v>100000000</v>
      </c>
      <c r="P20" s="138">
        <f>O20+'Assumptions Processing'!Q9</f>
        <v>100000000</v>
      </c>
      <c r="Q20" s="138">
        <f>P20+'Assumptions Processing'!R9</f>
        <v>100000000</v>
      </c>
      <c r="R20" s="138">
        <f>Q20+'Assumptions Processing'!S9</f>
        <v>100000000</v>
      </c>
      <c r="S20" s="138">
        <f>R20+'Assumptions Processing'!T9</f>
        <v>100000000</v>
      </c>
      <c r="T20" s="138">
        <f>S20+'Assumptions Processing'!U9</f>
        <v>100000000</v>
      </c>
      <c r="U20" s="138">
        <f>T20+'Assumptions Processing'!V9</f>
        <v>100000000</v>
      </c>
      <c r="V20" s="138">
        <f>U20+'Assumptions Processing'!W9</f>
        <v>100000000</v>
      </c>
      <c r="W20" s="138">
        <f>V20+'Assumptions Processing'!X9</f>
        <v>100000000</v>
      </c>
      <c r="X20" s="143"/>
      <c r="Y20" s="143"/>
      <c r="Z20" s="143"/>
      <c r="AA20" s="143"/>
      <c r="AB20" s="143"/>
      <c r="AC20" s="143"/>
      <c r="AD20" s="143"/>
      <c r="AE20" s="2"/>
      <c r="AF20" s="2"/>
      <c r="AG20" s="2"/>
      <c r="AH20" s="2"/>
      <c r="AI20" s="2"/>
      <c r="AJ20" s="2"/>
    </row>
    <row r="21" spans="2:36" s="77" customFormat="1" ht="18" customHeight="1">
      <c r="B21" s="80" t="str">
        <f>'Assumptions Processing'!B10</f>
        <v>Infrastructure Improvements</v>
      </c>
      <c r="C21" s="93"/>
      <c r="D21" s="138">
        <f>'Assumptions Processing'!E10</f>
        <v>25000000</v>
      </c>
      <c r="E21" s="138">
        <f>D21+'Assumptions Processing'!F10</f>
        <v>50000000</v>
      </c>
      <c r="F21" s="138">
        <f>E21+'Assumptions Processing'!G10</f>
        <v>100000000</v>
      </c>
      <c r="G21" s="138">
        <f>F21+'Assumptions Processing'!H10</f>
        <v>100000000</v>
      </c>
      <c r="H21" s="138">
        <f>G21+'Assumptions Processing'!I10</f>
        <v>100000000</v>
      </c>
      <c r="I21" s="138">
        <f>H21+'Assumptions Processing'!J10</f>
        <v>100000000</v>
      </c>
      <c r="J21" s="138">
        <f>I21+'Assumptions Processing'!K10</f>
        <v>100000000</v>
      </c>
      <c r="K21" s="138">
        <f>J21+'Assumptions Processing'!L10</f>
        <v>100000000</v>
      </c>
      <c r="L21" s="138">
        <f>K21+'Assumptions Processing'!M10</f>
        <v>100000000</v>
      </c>
      <c r="M21" s="138">
        <f>L21+'Assumptions Processing'!N10</f>
        <v>100000000</v>
      </c>
      <c r="N21" s="138">
        <f>M21+'Assumptions Processing'!O10</f>
        <v>100000000</v>
      </c>
      <c r="O21" s="138">
        <f>N21+'Assumptions Processing'!P10</f>
        <v>100000000</v>
      </c>
      <c r="P21" s="138">
        <f>O21+'Assumptions Processing'!Q10</f>
        <v>100000000</v>
      </c>
      <c r="Q21" s="138">
        <f>P21+'Assumptions Processing'!R10</f>
        <v>100000000</v>
      </c>
      <c r="R21" s="138">
        <f>Q21+'Assumptions Processing'!S10</f>
        <v>100000000</v>
      </c>
      <c r="S21" s="138">
        <f>R21+'Assumptions Processing'!T10</f>
        <v>100000000</v>
      </c>
      <c r="T21" s="138">
        <f>S21+'Assumptions Processing'!U10</f>
        <v>100000000</v>
      </c>
      <c r="U21" s="138">
        <f>T21+'Assumptions Processing'!V10</f>
        <v>100000000</v>
      </c>
      <c r="V21" s="138">
        <f>U21+'Assumptions Processing'!W10</f>
        <v>100000000</v>
      </c>
      <c r="W21" s="138">
        <f>V21+'Assumptions Processing'!X10</f>
        <v>100000000</v>
      </c>
      <c r="X21" s="143"/>
      <c r="Y21" s="143"/>
      <c r="Z21" s="143"/>
      <c r="AA21" s="143"/>
      <c r="AB21" s="143"/>
      <c r="AC21" s="143"/>
      <c r="AD21" s="143"/>
      <c r="AE21" s="2"/>
      <c r="AF21" s="2"/>
      <c r="AG21" s="2"/>
      <c r="AH21" s="2"/>
      <c r="AI21" s="2"/>
      <c r="AJ21" s="2"/>
    </row>
    <row r="22" spans="2:36" s="77" customFormat="1" ht="18" customHeight="1">
      <c r="B22" s="80" t="str">
        <f>'Assumptions Processing'!B11</f>
        <v>Other Capital Investment</v>
      </c>
      <c r="C22" s="93"/>
      <c r="D22" s="138">
        <f>'Assumptions Processing'!E11</f>
        <v>150000000</v>
      </c>
      <c r="E22" s="138">
        <f>D22+'Assumptions Processing'!F11</f>
        <v>300000000</v>
      </c>
      <c r="F22" s="138">
        <f>E22+'Assumptions Processing'!G11</f>
        <v>600000000</v>
      </c>
      <c r="G22" s="138">
        <f>F22+'Assumptions Processing'!H11</f>
        <v>600000000</v>
      </c>
      <c r="H22" s="138">
        <f>G22+'Assumptions Processing'!I11</f>
        <v>600000000</v>
      </c>
      <c r="I22" s="138">
        <f>H22+'Assumptions Processing'!J11</f>
        <v>600000000</v>
      </c>
      <c r="J22" s="138">
        <f>I22+'Assumptions Processing'!K11</f>
        <v>600000000</v>
      </c>
      <c r="K22" s="138">
        <f>J22+'Assumptions Processing'!L11</f>
        <v>600000000</v>
      </c>
      <c r="L22" s="138">
        <f>K22+'Assumptions Processing'!M11</f>
        <v>600000000</v>
      </c>
      <c r="M22" s="138">
        <f>L22+'Assumptions Processing'!N11</f>
        <v>600000000</v>
      </c>
      <c r="N22" s="138">
        <f>M22+'Assumptions Processing'!O11</f>
        <v>600000000</v>
      </c>
      <c r="O22" s="138">
        <f>N22+'Assumptions Processing'!P11</f>
        <v>600000000</v>
      </c>
      <c r="P22" s="138">
        <f>O22+'Assumptions Processing'!Q11</f>
        <v>600000000</v>
      </c>
      <c r="Q22" s="138">
        <f>P22+'Assumptions Processing'!R11</f>
        <v>600000000</v>
      </c>
      <c r="R22" s="138">
        <f>Q22+'Assumptions Processing'!S11</f>
        <v>600000000</v>
      </c>
      <c r="S22" s="138">
        <f>R22+'Assumptions Processing'!T11</f>
        <v>600000000</v>
      </c>
      <c r="T22" s="138">
        <f>S22+'Assumptions Processing'!U11</f>
        <v>600000000</v>
      </c>
      <c r="U22" s="138">
        <f>T22+'Assumptions Processing'!V11</f>
        <v>600000000</v>
      </c>
      <c r="V22" s="138">
        <f>U22+'Assumptions Processing'!W11</f>
        <v>600000000</v>
      </c>
      <c r="W22" s="138">
        <f>V22+'Assumptions Processing'!X11</f>
        <v>600000000</v>
      </c>
      <c r="X22" s="143"/>
      <c r="Y22" s="143"/>
      <c r="Z22" s="143"/>
      <c r="AA22" s="143"/>
      <c r="AB22" s="143"/>
      <c r="AC22" s="143"/>
      <c r="AD22" s="143"/>
      <c r="AE22" s="2"/>
      <c r="AF22" s="2"/>
      <c r="AG22" s="2"/>
      <c r="AH22" s="2"/>
      <c r="AI22" s="2"/>
      <c r="AJ22" s="2"/>
    </row>
    <row r="23" spans="2:36" s="77" customFormat="1" ht="18" customHeight="1">
      <c r="B23" s="80" t="str">
        <f>'Assumptions Processing'!B12</f>
        <v>Ongoing annual capital investment (after facility initiates operation)</v>
      </c>
      <c r="C23" s="93"/>
      <c r="D23" s="138">
        <f>'Assumptions Processing'!E12</f>
        <v>0</v>
      </c>
      <c r="E23" s="138">
        <f>D23+'Assumptions Processing'!F12</f>
        <v>0</v>
      </c>
      <c r="F23" s="138">
        <f>E23+'Assumptions Processing'!G12</f>
        <v>0</v>
      </c>
      <c r="G23" s="138">
        <f>F23+'Assumptions Processing'!H12</f>
        <v>320000000</v>
      </c>
      <c r="H23" s="138">
        <f>G23+'Assumptions Processing'!I12</f>
        <v>640000000</v>
      </c>
      <c r="I23" s="138">
        <f>H23+'Assumptions Processing'!J12</f>
        <v>960000000</v>
      </c>
      <c r="J23" s="138">
        <f>I23+'Assumptions Processing'!K12</f>
        <v>1280000000</v>
      </c>
      <c r="K23" s="138">
        <f>J23+'Assumptions Processing'!L12</f>
        <v>1600000000</v>
      </c>
      <c r="L23" s="138">
        <f>K23+'Assumptions Processing'!M12</f>
        <v>1920000000</v>
      </c>
      <c r="M23" s="138">
        <f>L23+'Assumptions Processing'!N12</f>
        <v>2240000000</v>
      </c>
      <c r="N23" s="138">
        <f>M23+'Assumptions Processing'!O12</f>
        <v>2560000000</v>
      </c>
      <c r="O23" s="138">
        <f>N23+'Assumptions Processing'!P12</f>
        <v>2880000000</v>
      </c>
      <c r="P23" s="138">
        <f>O23+'Assumptions Processing'!Q12</f>
        <v>3200000000</v>
      </c>
      <c r="Q23" s="138">
        <f>P23+'Assumptions Processing'!R12</f>
        <v>3520000000</v>
      </c>
      <c r="R23" s="138">
        <f>Q23+'Assumptions Processing'!S12</f>
        <v>3840000000</v>
      </c>
      <c r="S23" s="138">
        <f>R23+'Assumptions Processing'!T12</f>
        <v>4160000000</v>
      </c>
      <c r="T23" s="138">
        <f>S23+'Assumptions Processing'!U12</f>
        <v>4480000000</v>
      </c>
      <c r="U23" s="138">
        <f>T23+'Assumptions Processing'!V12</f>
        <v>4800000000</v>
      </c>
      <c r="V23" s="138">
        <f>U23+'Assumptions Processing'!W12</f>
        <v>5120000000</v>
      </c>
      <c r="W23" s="138">
        <f>V23+'Assumptions Processing'!X12</f>
        <v>5440000000</v>
      </c>
      <c r="X23" s="143"/>
      <c r="Y23" s="143"/>
      <c r="Z23" s="143"/>
      <c r="AA23" s="143"/>
      <c r="AB23" s="143"/>
      <c r="AC23" s="143"/>
      <c r="AD23" s="143"/>
      <c r="AE23" s="2"/>
      <c r="AF23" s="2"/>
      <c r="AG23" s="2"/>
      <c r="AH23" s="2"/>
      <c r="AI23" s="2"/>
      <c r="AJ23" s="2"/>
    </row>
    <row r="24" spans="2:36" s="77" customFormat="1" ht="18" customHeight="1">
      <c r="B24" s="80" t="s">
        <v>225</v>
      </c>
      <c r="C24" s="93"/>
      <c r="D24" s="138">
        <f>-SUM('Depreciation Schedule'!$E$16:E16)</f>
        <v>-153750000</v>
      </c>
      <c r="E24" s="138">
        <f>-SUM('Depreciation Schedule'!$E$16:F16)</f>
        <v>-922500000</v>
      </c>
      <c r="F24" s="138">
        <f>-SUM('Depreciation Schedule'!$E$16:G16)</f>
        <v>-1619500000</v>
      </c>
      <c r="G24" s="138">
        <f>-SUM('Depreciation Schedule'!$E$16:H16)</f>
        <v>-1619500000</v>
      </c>
      <c r="H24" s="138">
        <f>-SUM('Depreciation Schedule'!$E$16:I16)</f>
        <v>-1619500000</v>
      </c>
      <c r="I24" s="138">
        <f>-SUM('Depreciation Schedule'!$E$16:J16)</f>
        <v>-1619500000</v>
      </c>
      <c r="J24" s="138">
        <f>-SUM('Depreciation Schedule'!$E$16:K16)</f>
        <v>-1619500000</v>
      </c>
      <c r="K24" s="138">
        <f>-SUM('Depreciation Schedule'!$E$16:L16)</f>
        <v>-1619500000</v>
      </c>
      <c r="L24" s="138">
        <f>-SUM('Depreciation Schedule'!$E$16:M16)</f>
        <v>-1619500000</v>
      </c>
      <c r="M24" s="138">
        <f>-SUM('Depreciation Schedule'!$E$16:N16)</f>
        <v>-1619500000</v>
      </c>
      <c r="N24" s="138">
        <f>-SUM('Depreciation Schedule'!$E$16:O16)</f>
        <v>-1619500000</v>
      </c>
      <c r="O24" s="138">
        <f>-SUM('Depreciation Schedule'!$E$16:P16)</f>
        <v>-1619500000</v>
      </c>
      <c r="P24" s="138">
        <f>-SUM('Depreciation Schedule'!$E$16:Q16)</f>
        <v>-1619500000</v>
      </c>
      <c r="Q24" s="138">
        <f>-SUM('Depreciation Schedule'!$E$16:R16)</f>
        <v>-1619500000</v>
      </c>
      <c r="R24" s="138">
        <f>-SUM('Depreciation Schedule'!$E$16:S16)</f>
        <v>-1619500000</v>
      </c>
      <c r="S24" s="138">
        <f>-SUM('Depreciation Schedule'!$E$16:T16)</f>
        <v>-1619500000</v>
      </c>
      <c r="T24" s="138">
        <f>-SUM('Depreciation Schedule'!$E$16:U16)</f>
        <v>-1619500000</v>
      </c>
      <c r="U24" s="138">
        <f>-SUM('Depreciation Schedule'!$E$16:V16)</f>
        <v>-1619500000</v>
      </c>
      <c r="V24" s="138">
        <f>-SUM('Depreciation Schedule'!$E$16:W16)</f>
        <v>-1619500000</v>
      </c>
      <c r="W24" s="138">
        <f>-SUM('Depreciation Schedule'!$E$16:X16)</f>
        <v>-1619500000</v>
      </c>
      <c r="X24" s="143"/>
      <c r="Y24" s="143"/>
      <c r="Z24" s="143"/>
      <c r="AA24" s="143"/>
      <c r="AB24" s="143"/>
      <c r="AC24" s="143"/>
      <c r="AD24" s="143"/>
      <c r="AE24" s="2"/>
      <c r="AF24" s="2"/>
      <c r="AG24" s="2"/>
      <c r="AH24" s="2"/>
      <c r="AI24" s="2"/>
      <c r="AJ24" s="2"/>
    </row>
    <row r="25" spans="2:36" s="77" customFormat="1" ht="18" customHeight="1">
      <c r="B25" s="80" t="s">
        <v>226</v>
      </c>
      <c r="C25" s="90"/>
      <c r="D25" s="155">
        <f>C25-'Assumptions Processing'!E67</f>
        <v>-55650000</v>
      </c>
      <c r="E25" s="155">
        <f>D25-'Assumptions Processing'!F67</f>
        <v>-564450000</v>
      </c>
      <c r="F25" s="155">
        <f>E25-'Assumptions Processing'!G67</f>
        <v>-1523750000</v>
      </c>
      <c r="G25" s="155">
        <f>F25-'Assumptions Processing'!H67</f>
        <v>-2536383333.3333335</v>
      </c>
      <c r="H25" s="155">
        <f>G25-'Assumptions Processing'!I67</f>
        <v>-3602350000</v>
      </c>
      <c r="I25" s="155">
        <f>H25-'Assumptions Processing'!J67</f>
        <v>-4721650000</v>
      </c>
      <c r="J25" s="155">
        <f>I25-'Assumptions Processing'!K67</f>
        <v>-5867783333.333333</v>
      </c>
      <c r="K25" s="155">
        <f>J25-'Assumptions Processing'!L67</f>
        <v>-6643250000</v>
      </c>
      <c r="L25" s="155">
        <f>K25-'Assumptions Processing'!M67</f>
        <v>-7021550000</v>
      </c>
      <c r="M25" s="155">
        <f>L25-'Assumptions Processing'!N67</f>
        <v>-7399850000</v>
      </c>
      <c r="N25" s="155">
        <f>M25-'Assumptions Processing'!O67</f>
        <v>-7778150000</v>
      </c>
      <c r="O25" s="155">
        <f>N25-'Assumptions Processing'!P67</f>
        <v>-8156450000</v>
      </c>
      <c r="P25" s="155">
        <f>O25-'Assumptions Processing'!Q67</f>
        <v>-8534750000</v>
      </c>
      <c r="Q25" s="155">
        <f>P25-'Assumptions Processing'!R67</f>
        <v>-8913050000</v>
      </c>
      <c r="R25" s="155">
        <f>Q25-'Assumptions Processing'!S67</f>
        <v>-9291350000</v>
      </c>
      <c r="S25" s="155">
        <f>R25-'Assumptions Processing'!T67</f>
        <v>-9640500000</v>
      </c>
      <c r="T25" s="155">
        <f>S25-'Assumptions Processing'!U67</f>
        <v>-9960500000</v>
      </c>
      <c r="U25" s="155">
        <f>T25-'Assumptions Processing'!V67</f>
        <v>-10280500000</v>
      </c>
      <c r="V25" s="155">
        <f>U25-'Assumptions Processing'!W67</f>
        <v>-10600500000</v>
      </c>
      <c r="W25" s="155">
        <f>V25-'Assumptions Processing'!X67</f>
        <v>-10920500000</v>
      </c>
      <c r="X25" s="143"/>
      <c r="Y25" s="143"/>
      <c r="Z25" s="143"/>
      <c r="AA25" s="143"/>
      <c r="AB25" s="143"/>
      <c r="AC25" s="143"/>
      <c r="AD25" s="143"/>
      <c r="AE25" s="2"/>
      <c r="AF25" s="2"/>
      <c r="AG25" s="2"/>
      <c r="AH25" s="2"/>
      <c r="AI25" s="2"/>
      <c r="AJ25" s="2"/>
    </row>
    <row r="26" spans="2:36" s="77" customFormat="1" ht="18" customHeight="1">
      <c r="B26" s="167" t="s">
        <v>227</v>
      </c>
      <c r="C26" s="173"/>
      <c r="D26" s="174">
        <f t="shared" ref="D26:W26" si="3">SUM(D17:D25)</f>
        <v>640600000</v>
      </c>
      <c r="E26" s="174">
        <f t="shared" si="3"/>
        <v>3113050000</v>
      </c>
      <c r="F26" s="174">
        <f t="shared" si="3"/>
        <v>4856750000</v>
      </c>
      <c r="G26" s="174">
        <f t="shared" si="3"/>
        <v>4164116666.6666665</v>
      </c>
      <c r="H26" s="174">
        <f t="shared" si="3"/>
        <v>3418150000</v>
      </c>
      <c r="I26" s="174">
        <f t="shared" si="3"/>
        <v>2618850000</v>
      </c>
      <c r="J26" s="174">
        <f t="shared" si="3"/>
        <v>1792716666.666667</v>
      </c>
      <c r="K26" s="174">
        <f t="shared" si="3"/>
        <v>1337250000</v>
      </c>
      <c r="L26" s="174">
        <f t="shared" si="3"/>
        <v>1278950000</v>
      </c>
      <c r="M26" s="174">
        <f t="shared" si="3"/>
        <v>1220650000</v>
      </c>
      <c r="N26" s="174">
        <f t="shared" si="3"/>
        <v>1162350000</v>
      </c>
      <c r="O26" s="174">
        <f t="shared" si="3"/>
        <v>1104050000</v>
      </c>
      <c r="P26" s="174">
        <f t="shared" si="3"/>
        <v>1045750000</v>
      </c>
      <c r="Q26" s="174">
        <f t="shared" si="3"/>
        <v>987450000</v>
      </c>
      <c r="R26" s="174">
        <f t="shared" si="3"/>
        <v>929150000</v>
      </c>
      <c r="S26" s="174">
        <f t="shared" si="3"/>
        <v>900000000</v>
      </c>
      <c r="T26" s="174">
        <f t="shared" si="3"/>
        <v>900000000</v>
      </c>
      <c r="U26" s="174">
        <f t="shared" si="3"/>
        <v>900000000</v>
      </c>
      <c r="V26" s="174">
        <f t="shared" si="3"/>
        <v>900000000</v>
      </c>
      <c r="W26" s="174">
        <f t="shared" si="3"/>
        <v>900000000</v>
      </c>
      <c r="X26" s="143"/>
      <c r="Y26" s="143"/>
      <c r="Z26" s="143"/>
      <c r="AA26" s="143"/>
      <c r="AB26" s="143"/>
      <c r="AC26" s="143"/>
      <c r="AD26" s="143"/>
      <c r="AE26" s="2"/>
      <c r="AF26" s="2"/>
      <c r="AG26" s="2"/>
      <c r="AH26" s="2"/>
      <c r="AI26" s="2"/>
      <c r="AJ26" s="2"/>
    </row>
    <row r="27" spans="2:36" s="77" customFormat="1" ht="18" customHeight="1">
      <c r="B27" s="82"/>
      <c r="C27" s="93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43"/>
      <c r="Y27" s="143"/>
      <c r="Z27" s="143"/>
      <c r="AA27" s="143"/>
      <c r="AB27" s="143"/>
      <c r="AC27" s="143"/>
      <c r="AD27" s="143"/>
      <c r="AE27" s="2"/>
      <c r="AF27" s="2"/>
      <c r="AG27" s="2"/>
      <c r="AH27" s="2"/>
      <c r="AI27" s="2"/>
      <c r="AJ27" s="2"/>
    </row>
    <row r="28" spans="2:36" s="77" customFormat="1" ht="18" customHeight="1" thickBot="1">
      <c r="B28" s="168" t="s">
        <v>228</v>
      </c>
      <c r="C28" s="168"/>
      <c r="D28" s="168">
        <f t="shared" ref="D28:W28" si="4">D14+D26</f>
        <v>2578516666.6666665</v>
      </c>
      <c r="E28" s="169">
        <f t="shared" si="4"/>
        <v>5430070222.2222214</v>
      </c>
      <c r="F28" s="169">
        <f t="shared" si="4"/>
        <v>8388142111.1111107</v>
      </c>
      <c r="G28" s="169">
        <f t="shared" si="4"/>
        <v>8594815233.4018326</v>
      </c>
      <c r="H28" s="169">
        <f t="shared" si="4"/>
        <v>3944066637.3776779</v>
      </c>
      <c r="I28" s="170">
        <f t="shared" si="4"/>
        <v>3136126469.2465611</v>
      </c>
      <c r="J28" s="170">
        <f t="shared" si="4"/>
        <v>2302292759.3755565</v>
      </c>
      <c r="K28" s="170">
        <f t="shared" si="4"/>
        <v>1840043907.3443336</v>
      </c>
      <c r="L28" s="170">
        <f t="shared" si="4"/>
        <v>1775860662.2115505</v>
      </c>
      <c r="M28" s="170">
        <f t="shared" si="4"/>
        <v>1582944538.0125</v>
      </c>
      <c r="N28" s="170">
        <f t="shared" si="4"/>
        <v>1514029811.1118751</v>
      </c>
      <c r="O28" s="170">
        <f t="shared" si="4"/>
        <v>1445645820.5562813</v>
      </c>
      <c r="P28" s="170">
        <f t="shared" si="4"/>
        <v>1377766029.5284672</v>
      </c>
      <c r="Q28" s="170">
        <f t="shared" si="4"/>
        <v>1310365228.0520439</v>
      </c>
      <c r="R28" s="170">
        <f t="shared" si="4"/>
        <v>1243419466.6494417</v>
      </c>
      <c r="S28" s="170">
        <f t="shared" si="4"/>
        <v>1206055993.3169696</v>
      </c>
      <c r="T28" s="170">
        <f t="shared" si="4"/>
        <v>1198253193.6511211</v>
      </c>
      <c r="U28" s="170">
        <f t="shared" si="4"/>
        <v>1190840533.968565</v>
      </c>
      <c r="V28" s="170">
        <f t="shared" si="4"/>
        <v>1183798507.2701368</v>
      </c>
      <c r="W28" s="170">
        <f t="shared" si="4"/>
        <v>1177108581.90663</v>
      </c>
      <c r="X28"/>
      <c r="Y28"/>
      <c r="Z28"/>
      <c r="AA28"/>
      <c r="AB28"/>
      <c r="AC28"/>
      <c r="AD28"/>
      <c r="AE28"/>
      <c r="AF28"/>
      <c r="AG28"/>
      <c r="AH28" s="2"/>
      <c r="AI28" s="2"/>
      <c r="AJ28" s="2"/>
    </row>
    <row r="29" spans="2:36" s="77" customFormat="1" ht="18" customHeight="1" thickTop="1">
      <c r="B29" s="74"/>
      <c r="C29" s="93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43"/>
      <c r="Y29" s="143"/>
      <c r="Z29" s="143"/>
      <c r="AA29" s="143"/>
      <c r="AB29" s="143"/>
      <c r="AC29" s="143"/>
      <c r="AD29" s="143"/>
      <c r="AE29" s="2"/>
      <c r="AF29" s="2"/>
      <c r="AG29" s="2"/>
      <c r="AH29" s="2"/>
      <c r="AI29" s="2"/>
      <c r="AJ29" s="2"/>
    </row>
    <row r="30" spans="2:36" s="77" customFormat="1" ht="18" customHeight="1">
      <c r="B30" s="74"/>
      <c r="C30" s="93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43"/>
      <c r="Y30" s="143"/>
      <c r="Z30" s="143"/>
      <c r="AA30" s="143"/>
      <c r="AB30" s="143"/>
      <c r="AC30" s="143"/>
      <c r="AD30" s="143"/>
      <c r="AE30" s="2"/>
      <c r="AF30" s="2"/>
      <c r="AG30" s="2"/>
      <c r="AH30" s="2"/>
      <c r="AI30" s="2"/>
      <c r="AJ30" s="2"/>
    </row>
    <row r="31" spans="2:36" s="77" customFormat="1" ht="18" customHeight="1">
      <c r="B31" s="78" t="s">
        <v>229</v>
      </c>
      <c r="C31" s="93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43"/>
      <c r="Y31" s="143"/>
      <c r="Z31" s="143"/>
      <c r="AA31" s="143"/>
      <c r="AB31" s="143"/>
      <c r="AC31" s="143"/>
      <c r="AD31" s="143"/>
      <c r="AE31" s="2"/>
      <c r="AF31" s="2"/>
      <c r="AG31" s="2"/>
      <c r="AH31" s="2"/>
      <c r="AI31" s="2"/>
      <c r="AJ31" s="2"/>
    </row>
    <row r="32" spans="2:36" s="77" customFormat="1" ht="18" customHeight="1">
      <c r="B32" s="74"/>
      <c r="C32" s="93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43"/>
      <c r="Y32" s="143"/>
      <c r="Z32" s="143"/>
      <c r="AA32" s="143"/>
      <c r="AB32" s="143"/>
      <c r="AC32" s="143"/>
      <c r="AD32" s="143"/>
      <c r="AE32" s="2"/>
      <c r="AF32" s="2"/>
      <c r="AG32" s="2"/>
      <c r="AH32" s="2"/>
      <c r="AI32" s="2"/>
      <c r="AJ32" s="2"/>
    </row>
    <row r="33" spans="2:36" s="77" customFormat="1" ht="18" customHeight="1">
      <c r="B33" s="78" t="s">
        <v>230</v>
      </c>
      <c r="C33" s="93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43"/>
      <c r="Y33" s="143"/>
      <c r="Z33" s="143"/>
      <c r="AA33" s="143"/>
      <c r="AB33" s="143"/>
      <c r="AC33" s="143"/>
      <c r="AD33" s="143"/>
      <c r="AE33" s="2"/>
      <c r="AF33" s="2"/>
      <c r="AG33" s="2"/>
      <c r="AH33" s="2"/>
      <c r="AI33" s="2"/>
      <c r="AJ33" s="2"/>
    </row>
    <row r="34" spans="2:36" s="77" customFormat="1" ht="18" customHeight="1">
      <c r="B34" s="80" t="s">
        <v>231</v>
      </c>
      <c r="C34" s="90"/>
      <c r="D34" s="138">
        <f>(('Income Statement'!E22)/360)*'Control Panel'!$C$87</f>
        <v>0</v>
      </c>
      <c r="E34" s="138">
        <f>(('Income Statement'!F22)/360)*'Control Panel'!$C$87</f>
        <v>43055555.555555552</v>
      </c>
      <c r="F34" s="138">
        <f>(('Income Statement'!G22)/360)*'Control Panel'!$C$87</f>
        <v>86111111.111111104</v>
      </c>
      <c r="G34" s="138">
        <f>(('Income Statement'!H22)/360)*'Control Panel'!$C$87</f>
        <v>129166666.66666669</v>
      </c>
      <c r="H34" s="138">
        <f>(('Income Statement'!I22)/360)*'Control Panel'!$C$87</f>
        <v>125333333.33333334</v>
      </c>
      <c r="I34" s="138">
        <f>(('Income Statement'!J22)/360)*'Control Panel'!$C$87</f>
        <v>121686666.66666666</v>
      </c>
      <c r="J34" s="138">
        <f>(('Income Statement'!K22)/360)*'Control Panel'!$C$87</f>
        <v>118215883.33333333</v>
      </c>
      <c r="K34" s="138">
        <f>(('Income Statement'!L22)/360)*'Control Panel'!$C$87</f>
        <v>114910904.66666667</v>
      </c>
      <c r="L34" s="138">
        <f>(('Income Statement'!M22)/360)*'Control Panel'!$C$87</f>
        <v>111762306.82833332</v>
      </c>
      <c r="M34" s="138">
        <f>(('Income Statement'!N22)/360)*'Control Panel'!$C$87</f>
        <v>108761274.66886665</v>
      </c>
      <c r="N34" s="138">
        <f>(('Income Statement'!O22)/360)*'Control Panel'!$C$87</f>
        <v>105899559.00445883</v>
      </c>
      <c r="O34" s="138">
        <f>(('Income Statement'!P22)/360)*'Control Panel'!$C$87</f>
        <v>103169437.04937984</v>
      </c>
      <c r="P34" s="138">
        <f>(('Income Statement'!Q22)/360)*'Control Panel'!$C$87</f>
        <v>100563675.76363991</v>
      </c>
      <c r="Q34" s="138">
        <f>(('Income Statement'!R22)/360)*'Control Panel'!$C$87</f>
        <v>98075497.894169331</v>
      </c>
      <c r="R34" s="138">
        <f>(('Income Statement'!S22)/360)*'Control Panel'!$C$87</f>
        <v>95698550.504983231</v>
      </c>
      <c r="S34" s="138">
        <f>(('Income Statement'!T22)/360)*'Control Panel'!$C$87</f>
        <v>93426875.807641864</v>
      </c>
      <c r="T34" s="138">
        <f>(('Income Statement'!U22)/360)*'Control Panel'!$C$87</f>
        <v>91254884.117919445</v>
      </c>
      <c r="U34" s="138">
        <f>(('Income Statement'!V22)/360)*'Control Panel'!$C$87</f>
        <v>89177328.778050572</v>
      </c>
      <c r="V34" s="138">
        <f>(('Income Statement'!W22)/360)*'Control Panel'!$C$87</f>
        <v>87189282.896327689</v>
      </c>
      <c r="W34" s="138">
        <f>(('Income Statement'!X22)/360)*'Control Panel'!$C$87</f>
        <v>85286117.767254993</v>
      </c>
      <c r="X34" s="143"/>
      <c r="Y34" s="143"/>
      <c r="Z34" s="143"/>
      <c r="AA34" s="143"/>
      <c r="AB34" s="143"/>
      <c r="AC34" s="143"/>
      <c r="AD34" s="143"/>
      <c r="AE34" s="2"/>
      <c r="AF34" s="2"/>
      <c r="AG34" s="2"/>
      <c r="AH34" s="2"/>
      <c r="AI34" s="2"/>
      <c r="AJ34" s="2"/>
    </row>
    <row r="35" spans="2:36" s="77" customFormat="1" ht="18" customHeight="1">
      <c r="B35" s="86" t="s">
        <v>232</v>
      </c>
      <c r="C35" s="88"/>
      <c r="D35" s="141">
        <f>'Assumptions Processing'!F37+'Assumptions Processing'!F47</f>
        <v>0</v>
      </c>
      <c r="E35" s="141">
        <f>'Assumptions Processing'!G37+'Assumptions Processing'!G47</f>
        <v>0</v>
      </c>
      <c r="F35" s="141">
        <f>'Assumptions Processing'!H37+'Assumptions Processing'!H47</f>
        <v>439914409.51951098</v>
      </c>
      <c r="G35" s="141">
        <f>'Assumptions Processing'!I37+'Assumptions Processing'!I47</f>
        <v>469580670.45099419</v>
      </c>
      <c r="H35" s="141">
        <f>'Assumptions Processing'!J37+'Assumptions Processing'!J47</f>
        <v>501343887.66549218</v>
      </c>
      <c r="I35" s="141">
        <f>'Assumptions Processing'!K37+'Assumptions Processing'!K47</f>
        <v>535358000.43607086</v>
      </c>
      <c r="J35" s="141">
        <f>'Assumptions Processing'!L37+'Assumptions Processing'!L47</f>
        <v>571788572.31616282</v>
      </c>
      <c r="K35" s="141">
        <f>'Assumptions Processing'!M37+'Assumptions Processing'!M47</f>
        <v>235129004.68866765</v>
      </c>
      <c r="L35" s="141">
        <f>'Assumptions Processing'!N37+'Assumptions Processing'!N47</f>
        <v>246885454.92310101</v>
      </c>
      <c r="M35" s="141">
        <f>'Assumptions Processing'!O37+'Assumptions Processing'!O47</f>
        <v>0</v>
      </c>
      <c r="N35" s="141">
        <f>'Assumptions Processing'!P37+'Assumptions Processing'!P47</f>
        <v>0</v>
      </c>
      <c r="O35" s="141">
        <f>'Assumptions Processing'!Q37+'Assumptions Processing'!Q47</f>
        <v>0</v>
      </c>
      <c r="P35" s="141">
        <f>'Assumptions Processing'!R37+'Assumptions Processing'!R47</f>
        <v>0</v>
      </c>
      <c r="Q35" s="141">
        <f>'Assumptions Processing'!S37+'Assumptions Processing'!S47</f>
        <v>0</v>
      </c>
      <c r="R35" s="141">
        <f>'Assumptions Processing'!T37+'Assumptions Processing'!T47</f>
        <v>0</v>
      </c>
      <c r="S35" s="141">
        <f>'Assumptions Processing'!U37+'Assumptions Processing'!U47</f>
        <v>0</v>
      </c>
      <c r="T35" s="141">
        <f>'Assumptions Processing'!V37+'Assumptions Processing'!V47</f>
        <v>0</v>
      </c>
      <c r="U35" s="141">
        <f>'Assumptions Processing'!W37+'Assumptions Processing'!W47</f>
        <v>0</v>
      </c>
      <c r="V35" s="141">
        <f>'Assumptions Processing'!X37+'Assumptions Processing'!X47</f>
        <v>0</v>
      </c>
      <c r="W35" s="141">
        <f>'Assumptions Processing'!Y37+'Assumptions Processing'!Y47</f>
        <v>0</v>
      </c>
      <c r="X35" s="143"/>
      <c r="Y35" s="143"/>
      <c r="Z35" s="143"/>
      <c r="AA35" s="143"/>
      <c r="AB35" s="143"/>
      <c r="AC35" s="143"/>
      <c r="AD35" s="143"/>
      <c r="AE35" s="2"/>
      <c r="AF35" s="2"/>
      <c r="AG35" s="2"/>
      <c r="AH35" s="2"/>
      <c r="AI35" s="2"/>
      <c r="AJ35" s="2"/>
    </row>
    <row r="36" spans="2:36" s="77" customFormat="1" ht="18" customHeight="1">
      <c r="B36" s="83" t="s">
        <v>233</v>
      </c>
      <c r="C36" s="172"/>
      <c r="D36" s="137">
        <f t="shared" ref="D36:O36" si="5">SUM(D34:D35)</f>
        <v>0</v>
      </c>
      <c r="E36" s="137">
        <f t="shared" si="5"/>
        <v>43055555.555555552</v>
      </c>
      <c r="F36" s="137">
        <f t="shared" si="5"/>
        <v>526025520.63062209</v>
      </c>
      <c r="G36" s="137">
        <f t="shared" si="5"/>
        <v>598747337.11766088</v>
      </c>
      <c r="H36" s="137">
        <f t="shared" si="5"/>
        <v>626677220.99882555</v>
      </c>
      <c r="I36" s="137">
        <f t="shared" si="5"/>
        <v>657044667.10273755</v>
      </c>
      <c r="J36" s="137">
        <f t="shared" si="5"/>
        <v>690004455.6494962</v>
      </c>
      <c r="K36" s="137">
        <f t="shared" si="5"/>
        <v>350039909.35533434</v>
      </c>
      <c r="L36" s="137">
        <f t="shared" si="5"/>
        <v>358647761.75143433</v>
      </c>
      <c r="M36" s="137">
        <f t="shared" si="5"/>
        <v>108761274.66886665</v>
      </c>
      <c r="N36" s="137">
        <f t="shared" si="5"/>
        <v>105899559.00445883</v>
      </c>
      <c r="O36" s="137">
        <f t="shared" si="5"/>
        <v>103169437.04937984</v>
      </c>
      <c r="P36" s="137">
        <f t="shared" ref="P36:W36" si="6">SUM(P34:P35)</f>
        <v>100563675.76363991</v>
      </c>
      <c r="Q36" s="137">
        <f t="shared" si="6"/>
        <v>98075497.894169331</v>
      </c>
      <c r="R36" s="137">
        <f t="shared" si="6"/>
        <v>95698550.504983231</v>
      </c>
      <c r="S36" s="137">
        <f t="shared" si="6"/>
        <v>93426875.807641864</v>
      </c>
      <c r="T36" s="137">
        <f t="shared" si="6"/>
        <v>91254884.117919445</v>
      </c>
      <c r="U36" s="137">
        <f t="shared" si="6"/>
        <v>89177328.778050572</v>
      </c>
      <c r="V36" s="137">
        <f t="shared" si="6"/>
        <v>87189282.896327689</v>
      </c>
      <c r="W36" s="137">
        <f t="shared" si="6"/>
        <v>85286117.767254993</v>
      </c>
      <c r="X36" s="143"/>
      <c r="Y36" s="143"/>
      <c r="Z36" s="143"/>
      <c r="AA36" s="143"/>
      <c r="AB36" s="143"/>
      <c r="AC36" s="143"/>
      <c r="AD36" s="143"/>
      <c r="AE36" s="2"/>
      <c r="AF36" s="2"/>
      <c r="AG36" s="2"/>
      <c r="AH36" s="2"/>
      <c r="AI36" s="2"/>
      <c r="AJ36" s="2"/>
    </row>
    <row r="37" spans="2:36" s="77" customFormat="1" ht="18" customHeight="1">
      <c r="B37" s="83"/>
      <c r="C37" s="93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43"/>
      <c r="Y37" s="143"/>
      <c r="Z37" s="143"/>
      <c r="AA37" s="143"/>
      <c r="AB37" s="143"/>
      <c r="AC37" s="143"/>
      <c r="AD37" s="143"/>
      <c r="AE37" s="2"/>
      <c r="AF37" s="2"/>
      <c r="AG37" s="2"/>
      <c r="AH37" s="2"/>
      <c r="AI37" s="2"/>
      <c r="AJ37" s="2"/>
    </row>
    <row r="38" spans="2:36" s="77" customFormat="1" ht="18" customHeight="1">
      <c r="B38" s="83" t="s">
        <v>234</v>
      </c>
      <c r="C38" s="93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43"/>
      <c r="Y38" s="143"/>
      <c r="Z38" s="143"/>
      <c r="AA38" s="143"/>
      <c r="AB38" s="143"/>
      <c r="AC38" s="143"/>
      <c r="AD38" s="143"/>
      <c r="AE38" s="2"/>
      <c r="AF38" s="2"/>
      <c r="AG38" s="2"/>
      <c r="AH38" s="2"/>
      <c r="AI38" s="2"/>
      <c r="AJ38" s="2"/>
    </row>
    <row r="39" spans="2:36" s="77" customFormat="1" ht="18" customHeight="1">
      <c r="B39" s="80" t="s">
        <v>235</v>
      </c>
      <c r="C39" s="90"/>
      <c r="D39" s="155">
        <f>'Assumptions Processing'!E38+'Assumptions Processing'!E48-D35</f>
        <v>1000000000</v>
      </c>
      <c r="E39" s="155">
        <f>'Assumptions Processing'!F38+'Assumptions Processing'!F48-E35</f>
        <v>2000000000</v>
      </c>
      <c r="F39" s="155">
        <f>'Assumptions Processing'!G38+'Assumptions Processing'!G48-F35</f>
        <v>2560085590.4804888</v>
      </c>
      <c r="G39" s="155">
        <f>'Assumptions Processing'!H38+'Assumptions Processing'!H48-G35</f>
        <v>2090504920.0294945</v>
      </c>
      <c r="H39" s="155">
        <f>'Assumptions Processing'!I38+'Assumptions Processing'!I48-H35</f>
        <v>1589161032.3640027</v>
      </c>
      <c r="I39" s="155">
        <f>'Assumptions Processing'!J38+'Assumptions Processing'!J48-I35</f>
        <v>1053803031.9279315</v>
      </c>
      <c r="J39" s="155">
        <f>'Assumptions Processing'!K38+'Assumptions Processing'!K48-J35</f>
        <v>482014459.61176872</v>
      </c>
      <c r="K39" s="155">
        <f>'Assumptions Processing'!L38+'Assumptions Processing'!L48-K35</f>
        <v>246885454.92310131</v>
      </c>
      <c r="L39" s="155">
        <f>'Assumptions Processing'!M38+'Assumptions Processing'!M48-L35</f>
        <v>2.9802322387695313E-7</v>
      </c>
      <c r="M39" s="155">
        <f>'Assumptions Processing'!N38+'Assumptions Processing'!N48-M35</f>
        <v>0</v>
      </c>
      <c r="N39" s="155">
        <f>'Assumptions Processing'!O38+'Assumptions Processing'!O48-N35</f>
        <v>0</v>
      </c>
      <c r="O39" s="155">
        <f>'Assumptions Processing'!P38+'Assumptions Processing'!P48-O35</f>
        <v>0</v>
      </c>
      <c r="P39" s="155">
        <f>'Assumptions Processing'!Q38+'Assumptions Processing'!Q48-P35</f>
        <v>0</v>
      </c>
      <c r="Q39" s="155">
        <f>'Assumptions Processing'!R38+'Assumptions Processing'!R48-Q35</f>
        <v>0</v>
      </c>
      <c r="R39" s="155">
        <f>'Assumptions Processing'!S38+'Assumptions Processing'!S48-R35</f>
        <v>0</v>
      </c>
      <c r="S39" s="155">
        <f>'Assumptions Processing'!T38+'Assumptions Processing'!T48-S35</f>
        <v>0</v>
      </c>
      <c r="T39" s="155">
        <f>'Assumptions Processing'!U38+'Assumptions Processing'!U48-T35</f>
        <v>0</v>
      </c>
      <c r="U39" s="155">
        <f>'Assumptions Processing'!V38+'Assumptions Processing'!V48-U35</f>
        <v>0</v>
      </c>
      <c r="V39" s="155">
        <f>'Assumptions Processing'!W38+'Assumptions Processing'!W48-V35</f>
        <v>0</v>
      </c>
      <c r="W39" s="155">
        <f>'Assumptions Processing'!X38+'Assumptions Processing'!X48-W35</f>
        <v>0</v>
      </c>
      <c r="X39" s="143"/>
      <c r="Y39" s="143"/>
      <c r="Z39" s="143"/>
      <c r="AA39" s="143"/>
      <c r="AB39" s="143"/>
      <c r="AC39" s="143"/>
      <c r="AD39" s="143"/>
      <c r="AE39" s="2"/>
      <c r="AF39" s="2"/>
      <c r="AG39" s="2"/>
      <c r="AH39" s="2"/>
      <c r="AI39" s="2"/>
      <c r="AJ39" s="2"/>
    </row>
    <row r="40" spans="2:36" s="77" customFormat="1" ht="18" customHeight="1">
      <c r="B40" s="81" t="s">
        <v>236</v>
      </c>
      <c r="C40" s="173"/>
      <c r="D40" s="174">
        <f t="shared" ref="D40:W40" si="7">SUM(D39:D39)</f>
        <v>1000000000</v>
      </c>
      <c r="E40" s="174">
        <f t="shared" si="7"/>
        <v>2000000000</v>
      </c>
      <c r="F40" s="174">
        <f t="shared" si="7"/>
        <v>2560085590.4804888</v>
      </c>
      <c r="G40" s="174">
        <f t="shared" si="7"/>
        <v>2090504920.0294945</v>
      </c>
      <c r="H40" s="174">
        <f t="shared" si="7"/>
        <v>1589161032.3640027</v>
      </c>
      <c r="I40" s="174">
        <f t="shared" si="7"/>
        <v>1053803031.9279315</v>
      </c>
      <c r="J40" s="174">
        <f t="shared" si="7"/>
        <v>482014459.61176872</v>
      </c>
      <c r="K40" s="174">
        <f t="shared" si="7"/>
        <v>246885454.92310131</v>
      </c>
      <c r="L40" s="174">
        <f t="shared" si="7"/>
        <v>2.9802322387695313E-7</v>
      </c>
      <c r="M40" s="174">
        <f t="shared" si="7"/>
        <v>0</v>
      </c>
      <c r="N40" s="174">
        <f t="shared" si="7"/>
        <v>0</v>
      </c>
      <c r="O40" s="174">
        <f t="shared" si="7"/>
        <v>0</v>
      </c>
      <c r="P40" s="174">
        <f t="shared" si="7"/>
        <v>0</v>
      </c>
      <c r="Q40" s="174">
        <f t="shared" si="7"/>
        <v>0</v>
      </c>
      <c r="R40" s="174">
        <f t="shared" si="7"/>
        <v>0</v>
      </c>
      <c r="S40" s="174">
        <f t="shared" si="7"/>
        <v>0</v>
      </c>
      <c r="T40" s="174">
        <f t="shared" si="7"/>
        <v>0</v>
      </c>
      <c r="U40" s="174">
        <f t="shared" si="7"/>
        <v>0</v>
      </c>
      <c r="V40" s="174">
        <f t="shared" si="7"/>
        <v>0</v>
      </c>
      <c r="W40" s="174">
        <f t="shared" si="7"/>
        <v>0</v>
      </c>
      <c r="X40" s="143"/>
      <c r="Y40" s="143"/>
      <c r="Z40" s="143"/>
      <c r="AA40" s="143"/>
      <c r="AB40" s="143"/>
      <c r="AC40" s="143"/>
      <c r="AD40" s="143"/>
      <c r="AE40" s="2"/>
      <c r="AF40" s="2"/>
      <c r="AG40" s="2"/>
      <c r="AH40" s="2"/>
      <c r="AI40" s="2"/>
      <c r="AJ40" s="2"/>
    </row>
    <row r="41" spans="2:36" s="77" customFormat="1" ht="18" customHeight="1">
      <c r="B41" s="83"/>
      <c r="C41" s="93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43"/>
      <c r="Y41" s="143"/>
      <c r="Z41" s="143"/>
      <c r="AA41" s="143"/>
      <c r="AB41" s="143"/>
      <c r="AC41" s="143"/>
      <c r="AD41" s="143"/>
      <c r="AE41" s="2"/>
      <c r="AF41" s="2"/>
      <c r="AG41" s="2"/>
      <c r="AH41" s="2"/>
      <c r="AI41" s="2"/>
      <c r="AJ41" s="2"/>
    </row>
    <row r="42" spans="2:36" s="77" customFormat="1" ht="18" customHeight="1">
      <c r="B42" s="83" t="s">
        <v>237</v>
      </c>
      <c r="C42" s="93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43"/>
      <c r="Y42" s="143"/>
      <c r="Z42" s="143"/>
      <c r="AA42" s="143"/>
      <c r="AB42" s="143"/>
      <c r="AC42" s="143"/>
      <c r="AD42" s="143"/>
      <c r="AE42" s="2"/>
      <c r="AF42" s="2"/>
      <c r="AG42" s="2"/>
      <c r="AH42" s="2"/>
      <c r="AI42" s="2"/>
      <c r="AJ42" s="2"/>
    </row>
    <row r="43" spans="2:36" s="77" customFormat="1" ht="18" customHeight="1">
      <c r="B43" s="80" t="s">
        <v>238</v>
      </c>
      <c r="C43" s="90"/>
      <c r="D43" s="138">
        <f>SUM('Assumptions Processing'!$E$55:E55)</f>
        <v>1666666666.6666665</v>
      </c>
      <c r="E43" s="138">
        <f>SUM('Assumptions Processing'!$E$55:F55)</f>
        <v>3333333333.333333</v>
      </c>
      <c r="F43" s="138">
        <f>SUM('Assumptions Processing'!$E$55:G55)</f>
        <v>5000000000</v>
      </c>
      <c r="G43" s="138">
        <f>SUM('Assumptions Processing'!$E$55:H55)</f>
        <v>5000000000</v>
      </c>
      <c r="H43" s="138">
        <f>SUM('Assumptions Processing'!$E$55:I55)</f>
        <v>5000000000</v>
      </c>
      <c r="I43" s="138">
        <f>SUM('Assumptions Processing'!$E$55:J55)</f>
        <v>5000000000</v>
      </c>
      <c r="J43" s="138">
        <f>SUM('Assumptions Processing'!$E$55:K55)</f>
        <v>5000000000</v>
      </c>
      <c r="K43" s="138">
        <f>SUM('Assumptions Processing'!$E$55:L55)</f>
        <v>5000000000</v>
      </c>
      <c r="L43" s="138">
        <f>SUM('Assumptions Processing'!$E$55:M55)</f>
        <v>5000000000</v>
      </c>
      <c r="M43" s="138">
        <f>SUM('Assumptions Processing'!$E$55:N55)</f>
        <v>5000000000</v>
      </c>
      <c r="N43" s="138">
        <f>SUM('Assumptions Processing'!$E$55:O55)</f>
        <v>5000000000</v>
      </c>
      <c r="O43" s="138">
        <f>SUM('Assumptions Processing'!$E$55:P55)</f>
        <v>5000000000</v>
      </c>
      <c r="P43" s="138">
        <f>SUM('Assumptions Processing'!$E$55:Q55)</f>
        <v>5000000000</v>
      </c>
      <c r="Q43" s="138">
        <f>SUM('Assumptions Processing'!$E$55:R55)</f>
        <v>5000000000</v>
      </c>
      <c r="R43" s="138">
        <f>SUM('Assumptions Processing'!$E$55:S55)</f>
        <v>5000000000</v>
      </c>
      <c r="S43" s="138">
        <f>SUM('Assumptions Processing'!$E$55:T55)</f>
        <v>5000000000</v>
      </c>
      <c r="T43" s="138">
        <f>SUM('Assumptions Processing'!$E$55:U55)</f>
        <v>5000000000</v>
      </c>
      <c r="U43" s="138">
        <f>SUM('Assumptions Processing'!$E$55:V55)</f>
        <v>5000000000</v>
      </c>
      <c r="V43" s="138">
        <f>SUM('Assumptions Processing'!$E$55:W55)</f>
        <v>5000000000</v>
      </c>
      <c r="W43" s="138">
        <f>SUM('Assumptions Processing'!$E$55:X55)</f>
        <v>5000000000</v>
      </c>
      <c r="X43" s="143"/>
      <c r="Y43" s="143"/>
      <c r="Z43" s="143"/>
      <c r="AA43" s="143"/>
      <c r="AB43" s="143"/>
      <c r="AC43" s="143"/>
      <c r="AD43" s="143"/>
      <c r="AE43" s="2"/>
      <c r="AF43" s="2"/>
      <c r="AG43" s="2"/>
      <c r="AH43" s="2"/>
      <c r="AI43" s="2"/>
      <c r="AJ43" s="2"/>
    </row>
    <row r="44" spans="2:36" s="77" customFormat="1" ht="18" customHeight="1">
      <c r="B44" s="80" t="s">
        <v>239</v>
      </c>
      <c r="C44" s="90"/>
      <c r="D44" s="138">
        <f>C44+'Income Statement'!E45</f>
        <v>-88150000</v>
      </c>
      <c r="E44" s="138">
        <f>D44+'Income Statement'!F45</f>
        <v>53681333.333333254</v>
      </c>
      <c r="F44" s="138">
        <f>E44+'Income Statement'!G45</f>
        <v>302030999.99999976</v>
      </c>
      <c r="G44" s="138">
        <f>F44+'Income Statement'!H45</f>
        <v>905562976.25467682</v>
      </c>
      <c r="H44" s="138">
        <f>G44+'Income Statement'!I45</f>
        <v>-3271771615.9851503</v>
      </c>
      <c r="I44" s="138">
        <f>H44+'Income Statement'!J45</f>
        <v>-3574721229.7841077</v>
      </c>
      <c r="J44" s="138">
        <f>I44+'Income Statement'!K45</f>
        <v>-3869726155.8857083</v>
      </c>
      <c r="K44" s="138">
        <f>J44+'Income Statement'!L45</f>
        <v>-3756881456.9341016</v>
      </c>
      <c r="L44" s="138">
        <f>K44+'Income Statement'!M45</f>
        <v>-3582787099.5398836</v>
      </c>
      <c r="M44" s="138">
        <f>L44+'Income Statement'!N45</f>
        <v>-3525816736.6563659</v>
      </c>
      <c r="N44" s="138">
        <f>M44+'Income Statement'!O45</f>
        <v>-3591869747.8925829</v>
      </c>
      <c r="O44" s="138">
        <f>N44+'Income Statement'!P45</f>
        <v>-3657523616.4930978</v>
      </c>
      <c r="P44" s="138">
        <f>O44+'Income Statement'!Q45</f>
        <v>-3722797646.2351723</v>
      </c>
      <c r="Q44" s="138">
        <f>P44+'Income Statement'!R45</f>
        <v>-3787710269.8421249</v>
      </c>
      <c r="R44" s="138">
        <f>Q44+'Income Statement'!S45</f>
        <v>-3852279083.8555412</v>
      </c>
      <c r="S44" s="138">
        <f>R44+'Income Statement'!T45</f>
        <v>-3887370882.4906721</v>
      </c>
      <c r="T44" s="138">
        <f>S44+'Income Statement'!U45</f>
        <v>-3893001690.4667983</v>
      </c>
      <c r="U44" s="138">
        <f>T44+'Income Statement'!V45</f>
        <v>-3898336794.8094854</v>
      </c>
      <c r="V44" s="138">
        <f>U44+'Income Statement'!W45</f>
        <v>-3903390775.6261907</v>
      </c>
      <c r="W44" s="138">
        <f>V44+'Income Statement'!X45</f>
        <v>-3908177535.8606248</v>
      </c>
      <c r="X44" s="143"/>
      <c r="Y44" s="143"/>
      <c r="Z44" s="143"/>
      <c r="AA44" s="143"/>
      <c r="AB44" s="143"/>
      <c r="AC44" s="143"/>
      <c r="AD44" s="143"/>
      <c r="AE44" s="2"/>
      <c r="AF44" s="2"/>
      <c r="AG44" s="2"/>
      <c r="AH44" s="2"/>
      <c r="AI44" s="2"/>
      <c r="AJ44" s="2"/>
    </row>
    <row r="45" spans="2:36" s="77" customFormat="1" ht="18" customHeight="1">
      <c r="B45" s="81" t="s">
        <v>240</v>
      </c>
      <c r="C45" s="173"/>
      <c r="D45" s="174">
        <f t="shared" ref="D45:L45" si="8">SUM(D43:D44)</f>
        <v>1578516666.6666665</v>
      </c>
      <c r="E45" s="174">
        <f t="shared" si="8"/>
        <v>3387014666.666666</v>
      </c>
      <c r="F45" s="174">
        <f t="shared" si="8"/>
        <v>5302031000</v>
      </c>
      <c r="G45" s="174">
        <f t="shared" si="8"/>
        <v>5905562976.2546768</v>
      </c>
      <c r="H45" s="174">
        <f t="shared" si="8"/>
        <v>1728228384.0148497</v>
      </c>
      <c r="I45" s="174">
        <f t="shared" si="8"/>
        <v>1425278770.2158923</v>
      </c>
      <c r="J45" s="174">
        <f t="shared" si="8"/>
        <v>1130273844.1142917</v>
      </c>
      <c r="K45" s="174">
        <f t="shared" si="8"/>
        <v>1243118543.0658984</v>
      </c>
      <c r="L45" s="174">
        <f t="shared" si="8"/>
        <v>1417212900.4601164</v>
      </c>
      <c r="M45" s="174">
        <f>SUM(M43:M44)</f>
        <v>1474183263.3436341</v>
      </c>
      <c r="N45" s="174">
        <f>SUM(N43:N44)</f>
        <v>1408130252.1074171</v>
      </c>
      <c r="O45" s="174">
        <f>SUM(O43:O44)</f>
        <v>1342476383.5069022</v>
      </c>
      <c r="P45" s="174">
        <f t="shared" ref="P45:W45" si="9">SUM(P43:P44)</f>
        <v>1277202353.7648277</v>
      </c>
      <c r="Q45" s="174">
        <f t="shared" si="9"/>
        <v>1212289730.1578751</v>
      </c>
      <c r="R45" s="174">
        <f t="shared" si="9"/>
        <v>1147720916.1444588</v>
      </c>
      <c r="S45" s="174">
        <f t="shared" si="9"/>
        <v>1112629117.5093279</v>
      </c>
      <c r="T45" s="174">
        <f t="shared" si="9"/>
        <v>1106998309.5332017</v>
      </c>
      <c r="U45" s="174">
        <f t="shared" si="9"/>
        <v>1101663205.1905146</v>
      </c>
      <c r="V45" s="174">
        <f t="shared" si="9"/>
        <v>1096609224.3738093</v>
      </c>
      <c r="W45" s="174">
        <f t="shared" si="9"/>
        <v>1091822464.1393752</v>
      </c>
      <c r="X45" s="143"/>
      <c r="Y45" s="143"/>
      <c r="Z45" s="143"/>
      <c r="AA45" s="143"/>
      <c r="AB45" s="143"/>
      <c r="AC45" s="143"/>
      <c r="AD45" s="143"/>
      <c r="AE45" s="2"/>
      <c r="AF45" s="2"/>
      <c r="AG45" s="2"/>
      <c r="AH45" s="2"/>
      <c r="AI45" s="2"/>
      <c r="AJ45" s="2"/>
    </row>
    <row r="46" spans="2:36" s="77" customFormat="1" ht="18" customHeight="1">
      <c r="B46" s="87"/>
      <c r="C46" s="93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43"/>
      <c r="Y46" s="143"/>
      <c r="Z46" s="143"/>
      <c r="AA46" s="143"/>
      <c r="AB46" s="143"/>
      <c r="AC46" s="143"/>
      <c r="AD46" s="143"/>
      <c r="AE46" s="2"/>
      <c r="AF46" s="2"/>
      <c r="AG46" s="2"/>
      <c r="AH46" s="2"/>
      <c r="AI46" s="2"/>
      <c r="AJ46" s="2"/>
    </row>
    <row r="47" spans="2:36" s="77" customFormat="1" ht="18" customHeight="1" thickBot="1">
      <c r="B47" s="168" t="s">
        <v>241</v>
      </c>
      <c r="C47" s="168"/>
      <c r="D47" s="168">
        <f t="shared" ref="D47:W47" si="10">D36+D40+D45</f>
        <v>2578516666.6666665</v>
      </c>
      <c r="E47" s="169">
        <f t="shared" si="10"/>
        <v>5430070222.2222214</v>
      </c>
      <c r="F47" s="169">
        <f t="shared" si="10"/>
        <v>8388142111.1111107</v>
      </c>
      <c r="G47" s="169">
        <f t="shared" si="10"/>
        <v>8594815233.4018326</v>
      </c>
      <c r="H47" s="169">
        <f t="shared" si="10"/>
        <v>3944066637.3776779</v>
      </c>
      <c r="I47" s="170">
        <f t="shared" si="10"/>
        <v>3136126469.2465615</v>
      </c>
      <c r="J47" s="170">
        <f t="shared" si="10"/>
        <v>2302292759.3755565</v>
      </c>
      <c r="K47" s="170">
        <f t="shared" si="10"/>
        <v>1840043907.3443341</v>
      </c>
      <c r="L47" s="170">
        <f t="shared" si="10"/>
        <v>1775860662.211551</v>
      </c>
      <c r="M47" s="170">
        <f t="shared" si="10"/>
        <v>1582944538.0125008</v>
      </c>
      <c r="N47" s="170">
        <f t="shared" si="10"/>
        <v>1514029811.111876</v>
      </c>
      <c r="O47" s="170">
        <f t="shared" si="10"/>
        <v>1445645820.556282</v>
      </c>
      <c r="P47" s="170">
        <f t="shared" si="10"/>
        <v>1377766029.5284677</v>
      </c>
      <c r="Q47" s="170">
        <f t="shared" si="10"/>
        <v>1310365228.0520444</v>
      </c>
      <c r="R47" s="170">
        <f t="shared" si="10"/>
        <v>1243419466.649442</v>
      </c>
      <c r="S47" s="170">
        <f t="shared" si="10"/>
        <v>1206055993.3169699</v>
      </c>
      <c r="T47" s="170">
        <f t="shared" si="10"/>
        <v>1198253193.6511211</v>
      </c>
      <c r="U47" s="170">
        <f t="shared" si="10"/>
        <v>1190840533.9685652</v>
      </c>
      <c r="V47" s="170">
        <f t="shared" si="10"/>
        <v>1183798507.2701371</v>
      </c>
      <c r="W47" s="170">
        <f t="shared" si="10"/>
        <v>1177108581.9066303</v>
      </c>
      <c r="X47" s="143"/>
      <c r="Y47" s="143"/>
      <c r="Z47" s="143"/>
      <c r="AA47" s="143"/>
      <c r="AB47" s="143"/>
      <c r="AC47" s="143"/>
      <c r="AD47" s="143"/>
      <c r="AE47" s="2"/>
      <c r="AF47" s="2"/>
      <c r="AG47" s="2"/>
      <c r="AH47" s="2"/>
      <c r="AI47" s="2"/>
      <c r="AJ47" s="2"/>
    </row>
    <row r="48" spans="2:36" s="77" customFormat="1" ht="18" customHeight="1" thickTop="1">
      <c r="B48" s="87"/>
      <c r="C48" s="93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43"/>
      <c r="Y48" s="143"/>
      <c r="Z48" s="143"/>
      <c r="AA48" s="143"/>
      <c r="AB48" s="143"/>
      <c r="AC48" s="143"/>
      <c r="AD48" s="143"/>
      <c r="AE48" s="2"/>
      <c r="AF48" s="2"/>
      <c r="AG48" s="2"/>
      <c r="AH48" s="2"/>
      <c r="AI48" s="2"/>
      <c r="AJ48" s="2"/>
    </row>
    <row r="49" spans="2:36" s="77" customFormat="1" ht="18" customHeight="1">
      <c r="B49" s="87"/>
      <c r="C49" s="93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43"/>
      <c r="Y49" s="143"/>
      <c r="Z49" s="143"/>
      <c r="AA49" s="143"/>
      <c r="AB49" s="143"/>
      <c r="AC49" s="143"/>
      <c r="AD49" s="143"/>
      <c r="AE49" s="2"/>
      <c r="AF49" s="2"/>
      <c r="AG49" s="2"/>
      <c r="AH49" s="2"/>
      <c r="AI49" s="2"/>
      <c r="AJ49" s="2"/>
    </row>
    <row r="50" spans="2:36" s="77" customFormat="1" ht="18" customHeight="1">
      <c r="B50" s="171" t="s">
        <v>242</v>
      </c>
      <c r="C50" s="93"/>
      <c r="D50" s="138">
        <f>D28-D47</f>
        <v>0</v>
      </c>
      <c r="E50" s="138">
        <f t="shared" ref="E50:W50" si="11">E28-E47</f>
        <v>0</v>
      </c>
      <c r="F50" s="138">
        <f t="shared" si="11"/>
        <v>0</v>
      </c>
      <c r="G50" s="138">
        <f t="shared" si="11"/>
        <v>0</v>
      </c>
      <c r="H50" s="138">
        <f t="shared" si="11"/>
        <v>0</v>
      </c>
      <c r="I50" s="138">
        <f t="shared" si="11"/>
        <v>0</v>
      </c>
      <c r="J50" s="138">
        <f t="shared" si="11"/>
        <v>0</v>
      </c>
      <c r="K50" s="138">
        <f t="shared" si="11"/>
        <v>0</v>
      </c>
      <c r="L50" s="138">
        <f t="shared" si="11"/>
        <v>0</v>
      </c>
      <c r="M50" s="138">
        <f t="shared" si="11"/>
        <v>0</v>
      </c>
      <c r="N50" s="138">
        <f t="shared" si="11"/>
        <v>0</v>
      </c>
      <c r="O50" s="138">
        <f t="shared" si="11"/>
        <v>0</v>
      </c>
      <c r="P50" s="138">
        <f t="shared" si="11"/>
        <v>0</v>
      </c>
      <c r="Q50" s="138">
        <f t="shared" si="11"/>
        <v>0</v>
      </c>
      <c r="R50" s="138">
        <f t="shared" si="11"/>
        <v>0</v>
      </c>
      <c r="S50" s="138">
        <f t="shared" si="11"/>
        <v>0</v>
      </c>
      <c r="T50" s="138">
        <f t="shared" si="11"/>
        <v>0</v>
      </c>
      <c r="U50" s="138">
        <f t="shared" si="11"/>
        <v>0</v>
      </c>
      <c r="V50" s="138">
        <f>V28-V47</f>
        <v>0</v>
      </c>
      <c r="W50" s="138">
        <f t="shared" si="11"/>
        <v>0</v>
      </c>
      <c r="X50" s="143"/>
      <c r="Y50" s="143"/>
      <c r="Z50" s="143"/>
      <c r="AA50" s="143"/>
      <c r="AB50" s="143"/>
      <c r="AC50" s="143"/>
      <c r="AD50" s="143"/>
      <c r="AE50" s="2"/>
      <c r="AF50" s="2"/>
      <c r="AG50" s="2"/>
      <c r="AH50" s="2"/>
      <c r="AI50" s="2"/>
      <c r="AJ50" s="2"/>
    </row>
    <row r="51" spans="2:36" ht="18" customHeight="1">
      <c r="B51" s="171"/>
      <c r="C51" s="12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</row>
    <row r="52" spans="2:36" ht="18" customHeight="1">
      <c r="B52" s="114"/>
      <c r="C52" s="12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56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</row>
    <row r="53" spans="2:36" ht="18" customHeight="1">
      <c r="B53" s="114"/>
      <c r="C53" s="12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</row>
    <row r="54" spans="2:36" ht="18" customHeight="1">
      <c r="B54" s="114"/>
      <c r="C54" s="12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</row>
    <row r="55" spans="2:36" ht="18" customHeight="1">
      <c r="B55" s="114"/>
      <c r="C55" s="12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</row>
    <row r="56" spans="2:36" ht="18" customHeight="1">
      <c r="B56" s="114"/>
      <c r="C56" s="12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</row>
    <row r="57" spans="2:36" ht="18" customHeight="1">
      <c r="B57" s="114"/>
      <c r="C57" s="12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</row>
    <row r="58" spans="2:36" ht="18" customHeight="1">
      <c r="B58" s="114"/>
      <c r="C58" s="12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</row>
    <row r="59" spans="2:36" ht="18" customHeight="1">
      <c r="B59" s="114"/>
      <c r="C59" s="12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</row>
    <row r="60" spans="2:36" ht="18" customHeight="1">
      <c r="B60" s="114"/>
      <c r="C60" s="12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</row>
    <row r="61" spans="2:36" ht="18" customHeight="1">
      <c r="B61" s="114"/>
      <c r="C61" s="12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</row>
    <row r="62" spans="2:36" ht="18" customHeight="1">
      <c r="B62" s="114"/>
      <c r="C62" s="12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</row>
    <row r="63" spans="2:36" ht="18" customHeight="1">
      <c r="B63" s="114"/>
      <c r="C63" s="12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</row>
    <row r="64" spans="2:36" ht="18" customHeight="1">
      <c r="B64" s="114"/>
      <c r="C64" s="12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</row>
    <row r="65" spans="2:30" ht="18" customHeight="1">
      <c r="B65" s="114"/>
      <c r="C65" s="12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</row>
    <row r="66" spans="2:30" ht="18" customHeight="1">
      <c r="B66" s="114"/>
      <c r="C66" s="12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C66" s="143"/>
      <c r="AD66" s="143"/>
    </row>
    <row r="67" spans="2:30" ht="18" customHeight="1">
      <c r="B67" s="114"/>
      <c r="C67" s="12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</row>
    <row r="68" spans="2:30" ht="18" customHeight="1">
      <c r="B68" s="114"/>
      <c r="C68" s="12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</row>
    <row r="69" spans="2:30" ht="18" customHeight="1">
      <c r="B69" s="114"/>
      <c r="C69" s="12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</row>
    <row r="70" spans="2:30" ht="18" customHeight="1">
      <c r="B70" s="114"/>
      <c r="C70" s="12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</row>
    <row r="71" spans="2:30" ht="18" customHeight="1">
      <c r="B71" s="114"/>
      <c r="C71" s="12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</row>
    <row r="72" spans="2:30">
      <c r="B72" s="114"/>
      <c r="C72" s="12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C72" s="143"/>
      <c r="AD72" s="143"/>
    </row>
    <row r="73" spans="2:30">
      <c r="B73" s="114"/>
      <c r="C73" s="12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C73" s="143"/>
      <c r="AD73" s="143"/>
    </row>
    <row r="74" spans="2:30">
      <c r="B74" s="114"/>
      <c r="C74" s="12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</row>
    <row r="75" spans="2:30">
      <c r="B75" s="114"/>
      <c r="C75" s="12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</row>
    <row r="76" spans="2:30">
      <c r="B76" s="114"/>
      <c r="C76" s="12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C76" s="143"/>
      <c r="AD76" s="143"/>
    </row>
    <row r="77" spans="2:30">
      <c r="B77" s="114"/>
      <c r="C77" s="12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C77" s="143"/>
      <c r="AD77" s="143"/>
    </row>
    <row r="78" spans="2:30">
      <c r="B78" s="114"/>
      <c r="C78" s="12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C78" s="143"/>
      <c r="AD78" s="143"/>
    </row>
    <row r="79" spans="2:30">
      <c r="B79" s="114"/>
      <c r="C79" s="12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</row>
    <row r="80" spans="2:30">
      <c r="B80" s="114"/>
      <c r="C80" s="12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C80" s="143"/>
      <c r="AD80" s="143"/>
    </row>
    <row r="81" spans="2:30">
      <c r="B81" s="114"/>
      <c r="C81" s="12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43"/>
      <c r="AD81" s="143"/>
    </row>
    <row r="82" spans="2:30">
      <c r="B82" s="114"/>
      <c r="C82" s="12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C82" s="143"/>
      <c r="AD82" s="143"/>
    </row>
    <row r="83" spans="2:30">
      <c r="B83" s="114"/>
      <c r="C83" s="12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</row>
    <row r="84" spans="2:30">
      <c r="B84" s="114"/>
      <c r="C84" s="12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C84" s="143"/>
      <c r="AD84" s="143"/>
    </row>
    <row r="85" spans="2:30">
      <c r="B85" s="114"/>
      <c r="C85" s="12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C85" s="143"/>
      <c r="AD85" s="143"/>
    </row>
    <row r="86" spans="2:30">
      <c r="B86" s="114"/>
      <c r="C86" s="12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C86" s="143"/>
      <c r="AD86" s="143"/>
    </row>
    <row r="87" spans="2:30">
      <c r="B87" s="114"/>
      <c r="C87" s="12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</row>
    <row r="88" spans="2:30">
      <c r="B88" s="114"/>
      <c r="C88" s="12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</row>
    <row r="89" spans="2:30">
      <c r="B89" s="114"/>
      <c r="C89" s="12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</row>
    <row r="90" spans="2:30">
      <c r="B90" s="114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</row>
    <row r="91" spans="2:30">
      <c r="B91" s="114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</row>
    <row r="92" spans="2:30">
      <c r="B92" s="114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</row>
    <row r="93" spans="2:30">
      <c r="B93" s="114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</row>
    <row r="94" spans="2:30">
      <c r="B94" s="114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</row>
    <row r="95" spans="2:30">
      <c r="B95" s="114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</row>
    <row r="96" spans="2:30">
      <c r="B96" s="114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</row>
    <row r="97" spans="2:30">
      <c r="B97" s="114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  <c r="AC97" s="143"/>
      <c r="AD97" s="143"/>
    </row>
    <row r="98" spans="2:30">
      <c r="B98" s="114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</row>
    <row r="99" spans="2:30">
      <c r="B99" s="114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  <c r="AC99" s="143"/>
      <c r="AD99" s="143"/>
    </row>
    <row r="100" spans="2:30">
      <c r="B100" s="114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  <c r="AC100" s="143"/>
      <c r="AD100" s="143"/>
    </row>
    <row r="101" spans="2:30">
      <c r="B101" s="114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  <c r="AC101" s="143"/>
      <c r="AD101" s="143"/>
    </row>
    <row r="102" spans="2:30">
      <c r="B102" s="114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  <c r="AC102" s="143"/>
      <c r="AD102" s="143"/>
    </row>
    <row r="103" spans="2:30"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  <c r="AC103" s="143"/>
      <c r="AD103" s="143"/>
    </row>
    <row r="104" spans="2:30"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143"/>
      <c r="AD104" s="143"/>
    </row>
    <row r="105" spans="2:30"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</row>
    <row r="106" spans="2:30"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  <c r="AC106" s="143"/>
      <c r="AD106" s="143"/>
    </row>
    <row r="107" spans="2:30"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  <c r="AC107" s="143"/>
      <c r="AD107" s="143"/>
    </row>
    <row r="108" spans="2:30"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  <c r="AC108" s="143"/>
      <c r="AD108" s="143"/>
    </row>
    <row r="109" spans="2:30"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  <c r="AC109" s="143"/>
      <c r="AD109" s="143"/>
    </row>
    <row r="110" spans="2:30"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  <c r="AC110" s="143"/>
      <c r="AD110" s="143"/>
    </row>
    <row r="111" spans="2:30"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</row>
    <row r="112" spans="2:30"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</row>
    <row r="113" spans="4:30"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  <c r="AC113" s="143"/>
      <c r="AD113" s="143"/>
    </row>
    <row r="114" spans="4:30"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</row>
    <row r="115" spans="4:30"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  <c r="AC115" s="143"/>
      <c r="AD115" s="143"/>
    </row>
    <row r="116" spans="4:30"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</row>
    <row r="117" spans="4:30"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  <c r="AC117" s="143"/>
      <c r="AD117" s="143"/>
    </row>
    <row r="118" spans="4:30"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</row>
    <row r="119" spans="4:30"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</row>
    <row r="120" spans="4:30"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  <c r="AC120" s="143"/>
      <c r="AD120" s="143"/>
    </row>
    <row r="121" spans="4:30"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</row>
    <row r="122" spans="4:30"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</row>
    <row r="123" spans="4:30"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</row>
    <row r="124" spans="4:30"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</row>
    <row r="125" spans="4:30"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</row>
    <row r="126" spans="4:30"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</row>
    <row r="127" spans="4:30"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</row>
    <row r="128" spans="4:30"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</row>
    <row r="129" spans="4:30"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</row>
    <row r="130" spans="4:30"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</row>
    <row r="131" spans="4:30"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</row>
    <row r="132" spans="4:30"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</row>
    <row r="133" spans="4:30"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</row>
    <row r="134" spans="4:30"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</row>
    <row r="135" spans="4:30"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</row>
    <row r="136" spans="4:30"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</row>
    <row r="137" spans="4:30"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</row>
    <row r="138" spans="4:30"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</row>
    <row r="139" spans="4:30"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</row>
    <row r="140" spans="4:30"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</row>
    <row r="141" spans="4:30"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</row>
    <row r="142" spans="4:30"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</row>
    <row r="143" spans="4:30"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</row>
    <row r="144" spans="4:30"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</row>
    <row r="145" spans="4:30"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</row>
    <row r="146" spans="4:30"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</row>
    <row r="147" spans="4:30"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</row>
    <row r="148" spans="4:30"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</row>
    <row r="149" spans="4:30"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</row>
    <row r="150" spans="4:30"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</row>
    <row r="151" spans="4:30"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</row>
    <row r="152" spans="4:30"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</row>
    <row r="153" spans="4:30"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</row>
    <row r="154" spans="4:30"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</row>
    <row r="155" spans="4:30"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</row>
    <row r="156" spans="4:30"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</row>
    <row r="157" spans="4:30"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</row>
    <row r="158" spans="4:30"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</row>
    <row r="159" spans="4:30"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</row>
    <row r="160" spans="4:30"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</row>
    <row r="161" spans="4:30"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</row>
    <row r="162" spans="4:30"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</row>
    <row r="163" spans="4:30"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</row>
    <row r="164" spans="4:30"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</row>
    <row r="165" spans="4:30"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</row>
    <row r="166" spans="4:30"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</row>
    <row r="167" spans="4:30"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</row>
    <row r="168" spans="4:30"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</row>
    <row r="169" spans="4:30"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</row>
    <row r="170" spans="4:30"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</row>
    <row r="171" spans="4:30"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</row>
    <row r="172" spans="4:30"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</row>
    <row r="173" spans="4:30"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</row>
    <row r="174" spans="4:30"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</row>
    <row r="175" spans="4:30"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</row>
    <row r="176" spans="4:30"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</row>
    <row r="177" spans="4:30"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</row>
    <row r="178" spans="4:30"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</row>
    <row r="179" spans="4:30"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</row>
    <row r="180" spans="4:30"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</row>
    <row r="181" spans="4:30"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</row>
    <row r="182" spans="4:30"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</row>
    <row r="183" spans="4:30"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</row>
    <row r="184" spans="4:30"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</row>
    <row r="185" spans="4:30"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</row>
    <row r="186" spans="4:30"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</row>
    <row r="187" spans="4:30"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</row>
    <row r="188" spans="4:30"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</row>
    <row r="189" spans="4:30"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</row>
    <row r="190" spans="4:30"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</row>
    <row r="191" spans="4:30"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</row>
    <row r="192" spans="4:30"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</row>
    <row r="193" spans="4:30"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</row>
    <row r="194" spans="4:30"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</row>
    <row r="195" spans="4:30"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</row>
    <row r="196" spans="4:30"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</row>
    <row r="197" spans="4:30"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</row>
    <row r="198" spans="4:30"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</row>
    <row r="199" spans="4:30"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</row>
    <row r="200" spans="4:30"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</row>
    <row r="201" spans="4:30"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</row>
  </sheetData>
  <phoneticPr fontId="0" type="noConversion"/>
  <printOptions horizontalCentered="1" gridLinesSet="0"/>
  <pageMargins left="0.25" right="0.25" top="0.48" bottom="0.53" header="0.3" footer="0.3"/>
  <pageSetup paperSize="9" orientation="landscape" horizontalDpi="300" verticalDpi="300" r:id="rId1"/>
  <headerFooter alignWithMargins="0">
    <oddHeader>&amp;C&amp;"Times New Roman,Bold"&amp;16Balance Sheet</oddHeader>
    <oddFooter>&amp;L&amp;D &amp;T&amp;R&amp;F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5F5E-EC61-43BE-AE93-DB56AE126808}">
  <sheetPr codeName="Sheet14">
    <tabColor theme="5" tint="-0.499984740745262"/>
  </sheetPr>
  <dimension ref="A1:A2"/>
  <sheetViews>
    <sheetView showGridLines="0" zoomScale="80" zoomScaleNormal="80" workbookViewId="0"/>
  </sheetViews>
  <sheetFormatPr defaultColWidth="8.85546875" defaultRowHeight="15.6"/>
  <cols>
    <col min="1" max="1" width="8.85546875" style="53"/>
    <col min="2" max="2" width="20.140625" style="53" bestFit="1" customWidth="1"/>
    <col min="3" max="3" width="24.7109375" style="53" bestFit="1" customWidth="1"/>
    <col min="4" max="4" width="141" style="53" bestFit="1" customWidth="1"/>
    <col min="5" max="16384" width="8.85546875" style="53"/>
  </cols>
  <sheetData>
    <row r="1" spans="1:1" s="296" customFormat="1" ht="21">
      <c r="A1" s="295" t="s">
        <v>9</v>
      </c>
    </row>
    <row r="2" spans="1:1" s="298" customFormat="1">
      <c r="A2" s="297" t="s">
        <v>243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22A5-7FB7-4DBD-87F8-BE66DD66097C}">
  <sheetPr codeName="Sheet4">
    <tabColor theme="5" tint="-0.499984740745262"/>
  </sheetPr>
  <dimension ref="A1:B6"/>
  <sheetViews>
    <sheetView showGridLines="0" zoomScale="80" zoomScaleNormal="80" workbookViewId="0"/>
  </sheetViews>
  <sheetFormatPr defaultColWidth="8.7109375" defaultRowHeight="15.6"/>
  <cols>
    <col min="1" max="1" width="8.7109375" style="2"/>
    <col min="2" max="2" width="11.140625" style="2" bestFit="1" customWidth="1"/>
    <col min="3" max="16384" width="8.7109375" style="2"/>
  </cols>
  <sheetData>
    <row r="1" spans="1:2" s="296" customFormat="1" ht="21">
      <c r="A1" s="295" t="s">
        <v>244</v>
      </c>
    </row>
    <row r="2" spans="1:2" s="298" customFormat="1">
      <c r="A2" s="297" t="s">
        <v>245</v>
      </c>
    </row>
    <row r="4" spans="1:2">
      <c r="B4" s="6" t="s">
        <v>246</v>
      </c>
    </row>
    <row r="5" spans="1:2">
      <c r="B5" s="98" t="s">
        <v>78</v>
      </c>
    </row>
    <row r="6" spans="1:2">
      <c r="B6" s="99" t="s">
        <v>247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6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4303-6AA0-462B-A2AB-37FF9E7849A0}">
  <sheetPr codeName="Sheet11">
    <tabColor theme="5"/>
  </sheetPr>
  <dimension ref="A1:A2"/>
  <sheetViews>
    <sheetView showGridLines="0" zoomScale="80" zoomScaleNormal="80" workbookViewId="0"/>
  </sheetViews>
  <sheetFormatPr defaultColWidth="8.85546875" defaultRowHeight="15.6"/>
  <cols>
    <col min="1" max="1" width="8.85546875" style="53"/>
    <col min="2" max="2" width="20.140625" style="53" bestFit="1" customWidth="1"/>
    <col min="3" max="3" width="22.140625" style="53" bestFit="1" customWidth="1"/>
    <col min="4" max="4" width="141" style="53" bestFit="1" customWidth="1"/>
    <col min="5" max="16384" width="8.85546875" style="53"/>
  </cols>
  <sheetData>
    <row r="1" spans="1:1" s="291" customFormat="1" ht="21">
      <c r="A1" s="290" t="s">
        <v>18</v>
      </c>
    </row>
    <row r="2" spans="1:1" s="293" customFormat="1">
      <c r="A2" s="292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BEF7-4924-42EB-9269-2A3C70B204A9}">
  <sheetPr codeName="Sheet1">
    <tabColor theme="5"/>
  </sheetPr>
  <dimension ref="A1:CK166"/>
  <sheetViews>
    <sheetView showGridLines="0" tabSelected="1" topLeftCell="A63" zoomScale="70" zoomScaleNormal="70" workbookViewId="0">
      <selection activeCell="F73" sqref="F73"/>
    </sheetView>
  </sheetViews>
  <sheetFormatPr defaultColWidth="8.7109375" defaultRowHeight="15.6"/>
  <cols>
    <col min="1" max="1" width="3.7109375" style="2" customWidth="1"/>
    <col min="2" max="2" width="67.5703125" style="2" bestFit="1" customWidth="1"/>
    <col min="3" max="3" width="20.7109375" style="5" customWidth="1"/>
    <col min="4" max="4" width="25.140625" style="5" bestFit="1" customWidth="1"/>
    <col min="5" max="5" width="18.7109375" style="5" customWidth="1"/>
    <col min="6" max="10" width="18.7109375" style="2" customWidth="1"/>
    <col min="11" max="11" width="26.7109375" style="2" bestFit="1" customWidth="1"/>
    <col min="12" max="24" width="18.7109375" style="2" customWidth="1"/>
    <col min="25" max="25" width="10.140625" style="2" bestFit="1" customWidth="1"/>
    <col min="26" max="16384" width="8.7109375" style="2"/>
  </cols>
  <sheetData>
    <row r="1" spans="1:12" s="64" customFormat="1" ht="21">
      <c r="A1" s="277" t="s">
        <v>8</v>
      </c>
      <c r="B1" s="276"/>
      <c r="C1" s="65"/>
      <c r="D1" s="65"/>
      <c r="E1" s="65"/>
    </row>
    <row r="2" spans="1:12" s="67" customFormat="1">
      <c r="A2" s="66" t="s">
        <v>20</v>
      </c>
      <c r="C2" s="68"/>
      <c r="D2" s="68"/>
      <c r="E2" s="68"/>
    </row>
    <row r="3" spans="1:12" ht="18" customHeight="1"/>
    <row r="4" spans="1:12" ht="18" customHeight="1">
      <c r="B4" s="14" t="s">
        <v>21</v>
      </c>
      <c r="C4" s="69"/>
      <c r="D4" s="69"/>
      <c r="E4" s="69"/>
      <c r="F4" s="70"/>
      <c r="J4" s="100"/>
      <c r="K4" s="6" t="s">
        <v>22</v>
      </c>
      <c r="L4" s="6" t="s">
        <v>23</v>
      </c>
    </row>
    <row r="5" spans="1:12" ht="18" customHeight="1">
      <c r="B5" s="6"/>
      <c r="C5" s="40"/>
      <c r="D5" s="40"/>
      <c r="E5" s="40"/>
      <c r="F5" s="70"/>
      <c r="G5" s="101" t="s">
        <v>24</v>
      </c>
      <c r="H5" s="102"/>
      <c r="J5" s="247" t="s">
        <v>25</v>
      </c>
      <c r="K5" s="275">
        <f>SUM(D11:D12,J16:J21,D24:D25,D29:D30,F34,F39:F46,E51:E57,J64:J66,D70:D72,D76:D81,D85:D88,D92:D93)</f>
        <v>0</v>
      </c>
      <c r="L5" s="100" t="s">
        <v>26</v>
      </c>
    </row>
    <row r="6" spans="1:12" ht="18" customHeight="1">
      <c r="B6" s="3" t="s">
        <v>27</v>
      </c>
      <c r="C6" s="313" t="s">
        <v>28</v>
      </c>
      <c r="D6" s="314"/>
      <c r="E6" s="315"/>
      <c r="G6" s="101" t="s">
        <v>29</v>
      </c>
      <c r="H6" s="258" t="s">
        <v>30</v>
      </c>
      <c r="J6" s="248" t="s">
        <v>31</v>
      </c>
      <c r="K6" s="273">
        <f>SUM(C100:V100)</f>
        <v>0</v>
      </c>
      <c r="L6" s="100" t="s">
        <v>32</v>
      </c>
    </row>
    <row r="7" spans="1:12" ht="18" customHeight="1">
      <c r="B7"/>
      <c r="C7" s="249"/>
      <c r="D7" s="249"/>
      <c r="E7" s="240"/>
      <c r="G7" s="101" t="s">
        <v>33</v>
      </c>
      <c r="H7" s="103"/>
      <c r="J7" s="248" t="s">
        <v>34</v>
      </c>
      <c r="K7" s="274">
        <f>IF(OR(SUM('Balance Sheet'!D50:W50)&lt;1),0,COUNTIF('Balance Sheet'!D50:W50,"&gt;0"))</f>
        <v>0</v>
      </c>
      <c r="L7" s="100" t="s">
        <v>35</v>
      </c>
    </row>
    <row r="8" spans="1:12" ht="18" customHeight="1"/>
    <row r="9" spans="1:12" ht="18" customHeight="1">
      <c r="B9" s="24" t="s">
        <v>36</v>
      </c>
      <c r="C9" s="42"/>
      <c r="D9" s="43"/>
      <c r="E9" s="43"/>
      <c r="F9" s="43"/>
      <c r="G9" s="43"/>
      <c r="H9" s="43"/>
      <c r="I9" s="43"/>
      <c r="J9" s="43"/>
    </row>
    <row r="10" spans="1:12" ht="18" customHeight="1">
      <c r="D10" s="259" t="s">
        <v>37</v>
      </c>
    </row>
    <row r="11" spans="1:12" ht="18" customHeight="1">
      <c r="B11" s="6" t="s">
        <v>38</v>
      </c>
      <c r="C11" s="258">
        <f>SUM(C16:C21)</f>
        <v>8000000000</v>
      </c>
      <c r="D11" s="271">
        <f>IF(C11&lt;0,1,0)</f>
        <v>0</v>
      </c>
    </row>
    <row r="12" spans="1:12" ht="18" customHeight="1">
      <c r="B12" s="6" t="s">
        <v>39</v>
      </c>
      <c r="C12" s="258">
        <f>SUMPRODUCT(C16:C21,I16:I21)</f>
        <v>8000000000</v>
      </c>
      <c r="D12" s="271">
        <f>IF(C12&lt;&gt;C11,1,0)</f>
        <v>0</v>
      </c>
    </row>
    <row r="13" spans="1:12" ht="18" customHeight="1"/>
    <row r="14" spans="1:12" ht="18" customHeight="1">
      <c r="B14" s="6" t="s">
        <v>40</v>
      </c>
      <c r="C14" s="7"/>
      <c r="D14" s="7" t="s">
        <v>41</v>
      </c>
    </row>
    <row r="15" spans="1:12" ht="18" customHeight="1">
      <c r="C15" s="5" t="s">
        <v>42</v>
      </c>
      <c r="D15" s="5">
        <v>1</v>
      </c>
      <c r="E15" s="5">
        <v>2</v>
      </c>
      <c r="F15" s="5">
        <v>3</v>
      </c>
      <c r="G15" s="5">
        <v>4</v>
      </c>
      <c r="H15" s="5">
        <v>5</v>
      </c>
      <c r="I15" s="259" t="s">
        <v>43</v>
      </c>
      <c r="J15" s="259" t="s">
        <v>37</v>
      </c>
    </row>
    <row r="16" spans="1:12" ht="18" customHeight="1">
      <c r="B16" s="2" t="s">
        <v>44</v>
      </c>
      <c r="C16" s="18">
        <v>100000000</v>
      </c>
      <c r="D16" s="262">
        <v>1</v>
      </c>
      <c r="E16" s="263">
        <v>0</v>
      </c>
      <c r="F16" s="263">
        <v>0</v>
      </c>
      <c r="G16" s="263">
        <v>0</v>
      </c>
      <c r="H16" s="255">
        <v>0</v>
      </c>
      <c r="I16" s="268">
        <f>SUM(D16:H16)</f>
        <v>1</v>
      </c>
      <c r="J16" s="271">
        <f>IF((1-I16)&lt;&gt;0,1,0)</f>
        <v>0</v>
      </c>
    </row>
    <row r="17" spans="2:10" ht="18" customHeight="1">
      <c r="B17" s="2" t="s">
        <v>45</v>
      </c>
      <c r="C17" s="19">
        <v>1100000000</v>
      </c>
      <c r="D17" s="264">
        <v>0.5</v>
      </c>
      <c r="E17" s="265">
        <v>0.5</v>
      </c>
      <c r="F17" s="265">
        <v>0</v>
      </c>
      <c r="G17" s="265">
        <v>0</v>
      </c>
      <c r="H17" s="217">
        <v>0</v>
      </c>
      <c r="I17" s="268">
        <f t="shared" ref="I17:I21" si="0">SUM(D17:H17)</f>
        <v>1</v>
      </c>
      <c r="J17" s="271">
        <f t="shared" ref="J17:J21" si="1">IF((1-I17)&lt;&gt;0,1,0)</f>
        <v>0</v>
      </c>
    </row>
    <row r="18" spans="2:10" ht="18" customHeight="1">
      <c r="B18" s="2" t="s">
        <v>46</v>
      </c>
      <c r="C18" s="19">
        <v>6000000000</v>
      </c>
      <c r="D18" s="264">
        <v>0</v>
      </c>
      <c r="E18" s="265">
        <v>0.5</v>
      </c>
      <c r="F18" s="265">
        <v>0.5</v>
      </c>
      <c r="G18" s="265">
        <v>0</v>
      </c>
      <c r="H18" s="217">
        <v>0</v>
      </c>
      <c r="I18" s="268">
        <f t="shared" si="0"/>
        <v>1</v>
      </c>
      <c r="J18" s="271">
        <f t="shared" si="1"/>
        <v>0</v>
      </c>
    </row>
    <row r="19" spans="2:10" ht="18" customHeight="1">
      <c r="B19" s="2" t="s">
        <v>47</v>
      </c>
      <c r="C19" s="19">
        <v>100000000</v>
      </c>
      <c r="D19" s="264">
        <v>0.25</v>
      </c>
      <c r="E19" s="265">
        <v>0.25</v>
      </c>
      <c r="F19" s="265">
        <v>0.5</v>
      </c>
      <c r="G19" s="265">
        <v>0</v>
      </c>
      <c r="H19" s="217">
        <v>0</v>
      </c>
      <c r="I19" s="268">
        <f t="shared" si="0"/>
        <v>1</v>
      </c>
      <c r="J19" s="271">
        <f t="shared" si="1"/>
        <v>0</v>
      </c>
    </row>
    <row r="20" spans="2:10" ht="18" customHeight="1">
      <c r="B20" s="2" t="s">
        <v>48</v>
      </c>
      <c r="C20" s="19">
        <v>100000000</v>
      </c>
      <c r="D20" s="264">
        <v>0.25</v>
      </c>
      <c r="E20" s="265">
        <v>0.25</v>
      </c>
      <c r="F20" s="265">
        <v>0.5</v>
      </c>
      <c r="G20" s="265">
        <v>0</v>
      </c>
      <c r="H20" s="217">
        <v>0</v>
      </c>
      <c r="I20" s="268">
        <f t="shared" si="0"/>
        <v>1</v>
      </c>
      <c r="J20" s="271">
        <f t="shared" si="1"/>
        <v>0</v>
      </c>
    </row>
    <row r="21" spans="2:10" ht="18" customHeight="1">
      <c r="B21" s="2" t="s">
        <v>49</v>
      </c>
      <c r="C21" s="27">
        <v>600000000</v>
      </c>
      <c r="D21" s="266">
        <v>0.25</v>
      </c>
      <c r="E21" s="267">
        <v>0.25</v>
      </c>
      <c r="F21" s="267">
        <v>0.5</v>
      </c>
      <c r="G21" s="267">
        <v>0</v>
      </c>
      <c r="H21" s="218">
        <v>0</v>
      </c>
      <c r="I21" s="268">
        <f t="shared" si="0"/>
        <v>1</v>
      </c>
      <c r="J21" s="271">
        <f t="shared" si="1"/>
        <v>0</v>
      </c>
    </row>
    <row r="22" spans="2:10" ht="18" customHeight="1">
      <c r="H22" s="254"/>
    </row>
    <row r="23" spans="2:10" ht="18" customHeight="1">
      <c r="B23" s="6" t="s">
        <v>50</v>
      </c>
      <c r="D23" s="50" t="s">
        <v>37</v>
      </c>
    </row>
    <row r="24" spans="2:10" ht="18" customHeight="1">
      <c r="B24" s="2" t="s">
        <v>51</v>
      </c>
      <c r="C24" s="23">
        <v>0.04</v>
      </c>
      <c r="D24" s="271">
        <f>IF(C24&lt;0,1,0)</f>
        <v>0</v>
      </c>
    </row>
    <row r="25" spans="2:10" ht="18" customHeight="1">
      <c r="B25" s="2" t="s">
        <v>52</v>
      </c>
      <c r="C25" s="27">
        <v>4</v>
      </c>
      <c r="D25" s="271">
        <f>IF(C25&lt;0,1,0)</f>
        <v>0</v>
      </c>
    </row>
    <row r="26" spans="2:10" ht="18" customHeight="1"/>
    <row r="27" spans="2:10" ht="18" customHeight="1">
      <c r="B27" s="24" t="s">
        <v>53</v>
      </c>
      <c r="C27" s="42"/>
      <c r="D27" s="42"/>
      <c r="E27" s="42"/>
      <c r="F27" s="42"/>
    </row>
    <row r="28" spans="2:10" ht="18" customHeight="1">
      <c r="D28" s="50" t="s">
        <v>37</v>
      </c>
    </row>
    <row r="29" spans="2:10" ht="18" customHeight="1">
      <c r="B29" s="2" t="s">
        <v>54</v>
      </c>
      <c r="C29" s="18">
        <v>20000</v>
      </c>
      <c r="D29" s="271">
        <f>IF(C29&lt;0,1,0)</f>
        <v>0</v>
      </c>
    </row>
    <row r="30" spans="2:10" ht="18" customHeight="1">
      <c r="B30" s="2" t="s">
        <v>55</v>
      </c>
      <c r="C30" s="19">
        <v>16000</v>
      </c>
      <c r="D30" s="271">
        <f>IF(C30&lt;0,1,0)</f>
        <v>0</v>
      </c>
    </row>
    <row r="31" spans="2:10" ht="18" customHeight="1">
      <c r="B31" s="2" t="s">
        <v>56</v>
      </c>
      <c r="C31" s="20">
        <v>-0.05</v>
      </c>
    </row>
    <row r="32" spans="2:10" ht="18" customHeight="1"/>
    <row r="33" spans="2:6" ht="18" customHeight="1">
      <c r="C33" s="7" t="s">
        <v>52</v>
      </c>
      <c r="D33" s="7" t="s">
        <v>57</v>
      </c>
      <c r="E33" s="50" t="s">
        <v>58</v>
      </c>
      <c r="F33" s="50" t="s">
        <v>37</v>
      </c>
    </row>
    <row r="34" spans="2:6" ht="18" customHeight="1">
      <c r="B34" s="6" t="s">
        <v>59</v>
      </c>
      <c r="C34" s="21">
        <v>2</v>
      </c>
      <c r="D34" s="22">
        <v>4</v>
      </c>
      <c r="E34" s="50">
        <f t="shared" ref="E34" si="2">D34+1-C34</f>
        <v>3</v>
      </c>
      <c r="F34" s="271">
        <f>IF(C34&gt;D34,1,0)</f>
        <v>0</v>
      </c>
    </row>
    <row r="35" spans="2:6" ht="18" customHeight="1"/>
    <row r="36" spans="2:6" ht="18" customHeight="1">
      <c r="B36" s="24" t="s">
        <v>60</v>
      </c>
      <c r="C36" s="42"/>
      <c r="D36" s="42"/>
      <c r="E36" s="42"/>
      <c r="F36" s="42"/>
    </row>
    <row r="37" spans="2:6" ht="18" customHeight="1"/>
    <row r="38" spans="2:6" ht="18" customHeight="1">
      <c r="C38" s="7" t="s">
        <v>61</v>
      </c>
      <c r="D38" s="6" t="s">
        <v>62</v>
      </c>
      <c r="F38" s="50" t="s">
        <v>37</v>
      </c>
    </row>
    <row r="39" spans="2:6" ht="18" customHeight="1">
      <c r="B39" s="2" t="s">
        <v>63</v>
      </c>
      <c r="C39" s="250">
        <v>500000000</v>
      </c>
      <c r="D39" s="255">
        <v>-0.03</v>
      </c>
      <c r="F39" s="271">
        <f>IF(C39&lt;0,1,0)</f>
        <v>0</v>
      </c>
    </row>
    <row r="40" spans="2:6" ht="18" customHeight="1">
      <c r="B40" s="2" t="s">
        <v>64</v>
      </c>
      <c r="C40" s="251">
        <v>400000000</v>
      </c>
      <c r="D40" s="217">
        <v>0</v>
      </c>
      <c r="F40" s="271">
        <f t="shared" ref="F40:F45" si="3">IF(C40&lt;0,1,0)</f>
        <v>0</v>
      </c>
    </row>
    <row r="41" spans="2:6" ht="18" customHeight="1">
      <c r="B41" s="2" t="s">
        <v>65</v>
      </c>
      <c r="C41" s="251">
        <v>200000000</v>
      </c>
      <c r="D41" s="217">
        <v>-0.02</v>
      </c>
      <c r="F41" s="271">
        <f t="shared" si="3"/>
        <v>0</v>
      </c>
    </row>
    <row r="42" spans="2:6" ht="18" customHeight="1">
      <c r="B42" s="2" t="s">
        <v>66</v>
      </c>
      <c r="C42" s="251">
        <v>300000000</v>
      </c>
      <c r="D42" s="217">
        <v>-0.05</v>
      </c>
      <c r="F42" s="271">
        <f t="shared" si="3"/>
        <v>0</v>
      </c>
    </row>
    <row r="43" spans="2:6" ht="18" customHeight="1">
      <c r="B43" s="2" t="s">
        <v>67</v>
      </c>
      <c r="C43" s="251">
        <v>150000000</v>
      </c>
      <c r="D43" s="217">
        <v>-0.08</v>
      </c>
      <c r="F43" s="271">
        <f t="shared" si="3"/>
        <v>0</v>
      </c>
    </row>
    <row r="44" spans="2:6" ht="18" customHeight="1">
      <c r="B44" s="219" t="s">
        <v>68</v>
      </c>
      <c r="C44" s="252">
        <v>0</v>
      </c>
      <c r="D44" s="217">
        <v>0</v>
      </c>
      <c r="F44" s="271">
        <f t="shared" si="3"/>
        <v>0</v>
      </c>
    </row>
    <row r="45" spans="2:6" ht="18" customHeight="1">
      <c r="B45" s="220" t="s">
        <v>69</v>
      </c>
      <c r="C45" s="252">
        <v>0</v>
      </c>
      <c r="D45" s="217">
        <v>0</v>
      </c>
      <c r="F45" s="271">
        <f t="shared" si="3"/>
        <v>0</v>
      </c>
    </row>
    <row r="46" spans="2:6" ht="18" customHeight="1">
      <c r="B46" s="221" t="s">
        <v>70</v>
      </c>
      <c r="C46" s="253">
        <v>0</v>
      </c>
      <c r="D46" s="218">
        <v>0</v>
      </c>
      <c r="F46" s="271">
        <f>IF(C46&lt;0,1,0)</f>
        <v>0</v>
      </c>
    </row>
    <row r="47" spans="2:6" ht="18" customHeight="1">
      <c r="C47" s="246"/>
    </row>
    <row r="48" spans="2:6" ht="18" customHeight="1">
      <c r="B48" s="24" t="s">
        <v>71</v>
      </c>
      <c r="C48" s="42"/>
      <c r="D48" s="43"/>
      <c r="E48" s="43"/>
    </row>
    <row r="49" spans="1:10" ht="18" customHeight="1"/>
    <row r="50" spans="1:10" ht="18" customHeight="1">
      <c r="C50" s="7" t="s">
        <v>72</v>
      </c>
      <c r="D50" s="7" t="s">
        <v>73</v>
      </c>
      <c r="E50" s="50" t="s">
        <v>37</v>
      </c>
    </row>
    <row r="51" spans="1:10" ht="18" customHeight="1">
      <c r="A51" s="37"/>
      <c r="B51" s="34" t="s">
        <v>74</v>
      </c>
      <c r="C51" s="44">
        <v>0.05</v>
      </c>
      <c r="D51" s="45">
        <v>0.08</v>
      </c>
      <c r="E51" s="271">
        <f>IF(OR(C51&lt;0,D51&lt;0),1,0)</f>
        <v>0</v>
      </c>
    </row>
    <row r="52" spans="1:10" ht="18" customHeight="1">
      <c r="A52" s="37"/>
      <c r="B52" s="34" t="s">
        <v>75</v>
      </c>
      <c r="C52" s="46">
        <v>10</v>
      </c>
      <c r="D52" s="47">
        <v>8</v>
      </c>
      <c r="E52" s="271">
        <f t="shared" ref="E52:E53" si="4">IF(OR(C52&lt;0,D52&lt;0),1,0)</f>
        <v>0</v>
      </c>
    </row>
    <row r="53" spans="1:10" ht="18" customHeight="1">
      <c r="A53" s="37"/>
      <c r="B53" s="34" t="s">
        <v>76</v>
      </c>
      <c r="C53" s="46">
        <v>4</v>
      </c>
      <c r="D53" s="47">
        <v>4</v>
      </c>
      <c r="E53" s="271">
        <f t="shared" si="4"/>
        <v>0</v>
      </c>
    </row>
    <row r="54" spans="1:10" ht="18" customHeight="1">
      <c r="A54" s="37"/>
      <c r="B54" s="35" t="s">
        <v>77</v>
      </c>
      <c r="C54" s="48" t="s">
        <v>78</v>
      </c>
      <c r="D54" s="49" t="s">
        <v>78</v>
      </c>
    </row>
    <row r="55" spans="1:10" ht="18" customHeight="1">
      <c r="A55" s="37"/>
      <c r="B55" s="8" t="s">
        <v>79</v>
      </c>
      <c r="C55" s="46">
        <v>1500000000</v>
      </c>
      <c r="D55" s="47">
        <v>1500000000</v>
      </c>
      <c r="E55" s="271">
        <f>IF(OR(C55&lt;0,D55&lt;0),1,0)</f>
        <v>0</v>
      </c>
    </row>
    <row r="56" spans="1:10" ht="18" customHeight="1">
      <c r="A56" s="37"/>
      <c r="B56" s="2" t="s">
        <v>80</v>
      </c>
      <c r="C56" s="256">
        <v>1</v>
      </c>
      <c r="D56" s="257">
        <v>1</v>
      </c>
      <c r="E56" s="271">
        <f>IF(OR(C56&lt;0,D56&lt;0,C56&gt;20,D56&gt;20),1,0)</f>
        <v>0</v>
      </c>
    </row>
    <row r="57" spans="1:10" ht="18" customHeight="1">
      <c r="A57" s="37"/>
      <c r="B57" s="2" t="s">
        <v>81</v>
      </c>
      <c r="C57" s="25">
        <v>3</v>
      </c>
      <c r="D57" s="26">
        <v>3</v>
      </c>
      <c r="E57" s="271">
        <f>IF(OR(C57&lt;0,D57&lt;0,C57&gt;20,D57&gt;20),1,0)</f>
        <v>0</v>
      </c>
    </row>
    <row r="58" spans="1:10" ht="18" customHeight="1">
      <c r="A58" s="37"/>
      <c r="B58" s="260" t="s">
        <v>58</v>
      </c>
      <c r="C58" s="50">
        <f>C57+1-C56</f>
        <v>3</v>
      </c>
      <c r="D58" s="50">
        <f>D57+1-D56</f>
        <v>3</v>
      </c>
      <c r="E58" s="2"/>
    </row>
    <row r="59" spans="1:10" ht="18" customHeight="1">
      <c r="A59" s="37"/>
    </row>
    <row r="60" spans="1:10" ht="18" customHeight="1">
      <c r="A60" s="37"/>
      <c r="B60" s="24" t="s">
        <v>82</v>
      </c>
      <c r="C60" s="42"/>
      <c r="D60" s="43"/>
      <c r="E60" s="43"/>
      <c r="F60" s="43"/>
      <c r="G60" s="43"/>
      <c r="H60" s="43"/>
      <c r="I60" s="43"/>
      <c r="J60" s="43"/>
    </row>
    <row r="61" spans="1:10" customFormat="1" ht="18" customHeight="1">
      <c r="B61" s="197"/>
    </row>
    <row r="62" spans="1:10" customFormat="1" ht="18" customHeight="1">
      <c r="B62" s="6" t="s">
        <v>83</v>
      </c>
      <c r="D62" s="7" t="s">
        <v>41</v>
      </c>
    </row>
    <row r="63" spans="1:10" ht="18" customHeight="1">
      <c r="A63" s="37"/>
      <c r="C63" s="5" t="s">
        <v>42</v>
      </c>
      <c r="D63" s="5">
        <v>1</v>
      </c>
      <c r="E63" s="5">
        <v>2</v>
      </c>
      <c r="F63" s="5">
        <v>3</v>
      </c>
      <c r="G63" s="5">
        <v>4</v>
      </c>
      <c r="H63" s="5">
        <v>5</v>
      </c>
      <c r="I63" s="260" t="s">
        <v>43</v>
      </c>
      <c r="J63" s="260" t="s">
        <v>37</v>
      </c>
    </row>
    <row r="64" spans="1:10" ht="18" customHeight="1">
      <c r="A64" s="37"/>
      <c r="B64" s="2" t="s">
        <v>84</v>
      </c>
      <c r="C64" s="261">
        <f>C11-SUM(C55:D55)-SUM(C65:C66)</f>
        <v>5000000000</v>
      </c>
      <c r="D64" s="262">
        <f t="shared" ref="D64:F66" si="5">1/3</f>
        <v>0.33333333333333331</v>
      </c>
      <c r="E64" s="263">
        <f t="shared" si="5"/>
        <v>0.33333333333333331</v>
      </c>
      <c r="F64" s="263">
        <f t="shared" si="5"/>
        <v>0.33333333333333331</v>
      </c>
      <c r="G64" s="263">
        <v>0</v>
      </c>
      <c r="H64" s="255">
        <v>0</v>
      </c>
      <c r="I64" s="270">
        <f>SUM(D64:H64)</f>
        <v>1</v>
      </c>
      <c r="J64" s="271">
        <f>IF((1-I64)&lt;&gt;0,1,0)</f>
        <v>0</v>
      </c>
    </row>
    <row r="65" spans="1:24" ht="18" customHeight="1">
      <c r="A65" s="37"/>
      <c r="B65" s="2" t="s">
        <v>85</v>
      </c>
      <c r="C65" s="16">
        <v>0</v>
      </c>
      <c r="D65" s="264">
        <f t="shared" si="5"/>
        <v>0.33333333333333331</v>
      </c>
      <c r="E65" s="265">
        <f t="shared" si="5"/>
        <v>0.33333333333333331</v>
      </c>
      <c r="F65" s="265">
        <f t="shared" si="5"/>
        <v>0.33333333333333331</v>
      </c>
      <c r="G65" s="265">
        <v>0</v>
      </c>
      <c r="H65" s="217">
        <v>0</v>
      </c>
      <c r="I65" s="270">
        <f t="shared" ref="I65:I66" si="6">SUM(D65:H65)</f>
        <v>1</v>
      </c>
      <c r="J65" s="271">
        <f t="shared" ref="J65:J66" si="7">IF((1-I65)&lt;&gt;0,1,0)</f>
        <v>0</v>
      </c>
    </row>
    <row r="66" spans="1:24" ht="18" customHeight="1">
      <c r="A66" s="37"/>
      <c r="B66" s="2" t="s">
        <v>86</v>
      </c>
      <c r="C66" s="17">
        <v>0</v>
      </c>
      <c r="D66" s="266">
        <f>1/3</f>
        <v>0.33333333333333331</v>
      </c>
      <c r="E66" s="267">
        <f t="shared" si="5"/>
        <v>0.33333333333333331</v>
      </c>
      <c r="F66" s="267">
        <f t="shared" si="5"/>
        <v>0.33333333333333331</v>
      </c>
      <c r="G66" s="267">
        <v>0</v>
      </c>
      <c r="H66" s="218">
        <v>0</v>
      </c>
      <c r="I66" s="270">
        <f t="shared" si="6"/>
        <v>1</v>
      </c>
      <c r="J66" s="271">
        <f t="shared" si="7"/>
        <v>0</v>
      </c>
    </row>
    <row r="67" spans="1:24" ht="18" customHeight="1"/>
    <row r="68" spans="1:24" ht="18" customHeight="1">
      <c r="B68" s="24" t="s">
        <v>87</v>
      </c>
      <c r="C68" s="42"/>
      <c r="D68" s="42"/>
    </row>
    <row r="69" spans="1:24" ht="18" customHeight="1">
      <c r="D69" s="50" t="s">
        <v>37</v>
      </c>
    </row>
    <row r="70" spans="1:24" ht="18" customHeight="1">
      <c r="B70" s="9" t="s">
        <v>88</v>
      </c>
      <c r="C70" s="28">
        <v>0.21</v>
      </c>
      <c r="D70" s="271">
        <f>IF(C70&lt;0,1,0)</f>
        <v>0</v>
      </c>
    </row>
    <row r="71" spans="1:24" ht="18" customHeight="1">
      <c r="B71" s="9" t="s">
        <v>89</v>
      </c>
      <c r="C71" s="29">
        <v>0.25</v>
      </c>
      <c r="D71" s="271">
        <f t="shared" ref="D71:D72" si="8">IF(C71&lt;0,1,0)</f>
        <v>0</v>
      </c>
    </row>
    <row r="72" spans="1:24" ht="18" customHeight="1">
      <c r="B72" s="9" t="s">
        <v>90</v>
      </c>
      <c r="C72" s="30">
        <v>0.82</v>
      </c>
      <c r="D72" s="271">
        <f t="shared" si="8"/>
        <v>0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ht="18" customHeight="1"/>
    <row r="74" spans="1:24" ht="18" customHeight="1">
      <c r="B74" s="24" t="s">
        <v>91</v>
      </c>
      <c r="C74" s="42"/>
      <c r="D74" s="42"/>
    </row>
    <row r="75" spans="1:24" ht="18" customHeight="1">
      <c r="B75" s="2" t="s">
        <v>92</v>
      </c>
      <c r="C75" s="5" t="s">
        <v>93</v>
      </c>
      <c r="D75" s="50" t="s">
        <v>37</v>
      </c>
    </row>
    <row r="76" spans="1:24" ht="18" customHeight="1">
      <c r="B76" s="13" t="str">
        <f>B17</f>
        <v>Construction</v>
      </c>
      <c r="C76" s="31">
        <v>15</v>
      </c>
      <c r="D76" s="271">
        <f>IF(C76&lt;0,1,0)</f>
        <v>0</v>
      </c>
    </row>
    <row r="77" spans="1:24" ht="18" customHeight="1">
      <c r="B77" s="13" t="str">
        <f>B18</f>
        <v>Equipment</v>
      </c>
      <c r="C77" s="32">
        <v>6</v>
      </c>
      <c r="D77" s="271">
        <f>IF(C77&lt;0,1,0)</f>
        <v>0</v>
      </c>
    </row>
    <row r="78" spans="1:24" ht="18" customHeight="1">
      <c r="B78" s="13" t="str">
        <f>B19</f>
        <v>Administrative Expenses directly attributable to facility construction</v>
      </c>
      <c r="C78" s="32">
        <v>6</v>
      </c>
      <c r="D78" s="271">
        <f t="shared" ref="D78:D81" si="9">IF(C78&lt;0,1,0)</f>
        <v>0</v>
      </c>
    </row>
    <row r="79" spans="1:24" ht="18" customHeight="1">
      <c r="B79" s="13" t="str">
        <f>B20</f>
        <v>Infrastructure Improvements</v>
      </c>
      <c r="C79" s="32">
        <v>6</v>
      </c>
      <c r="D79" s="271">
        <f t="shared" si="9"/>
        <v>0</v>
      </c>
    </row>
    <row r="80" spans="1:24" ht="18" customHeight="1">
      <c r="B80" s="13" t="str">
        <f>B21</f>
        <v>Other Capital Investment</v>
      </c>
      <c r="C80" s="32">
        <v>6</v>
      </c>
      <c r="D80" s="271">
        <f t="shared" si="9"/>
        <v>0</v>
      </c>
    </row>
    <row r="81" spans="2:89" ht="18" customHeight="1">
      <c r="B81" s="13" t="str">
        <f>B23</f>
        <v>Ongoing annual capital investment (after facility initiates operation)</v>
      </c>
      <c r="C81" s="33">
        <v>6</v>
      </c>
      <c r="D81" s="271">
        <f t="shared" si="9"/>
        <v>0</v>
      </c>
    </row>
    <row r="82" spans="2:89" ht="18" customHeight="1"/>
    <row r="83" spans="2:89" ht="18" customHeight="1">
      <c r="B83" s="24" t="s">
        <v>94</v>
      </c>
      <c r="C83" s="42"/>
      <c r="D83" s="42"/>
    </row>
    <row r="84" spans="2:89" ht="18" customHeight="1">
      <c r="D84" s="50" t="s">
        <v>37</v>
      </c>
    </row>
    <row r="85" spans="2:89" ht="18" customHeight="1">
      <c r="B85" s="13" t="s">
        <v>95</v>
      </c>
      <c r="C85" s="31">
        <v>30</v>
      </c>
      <c r="D85" s="271">
        <f t="shared" ref="D85:D87" si="10">IF(C85&lt;0,1,0)</f>
        <v>0</v>
      </c>
    </row>
    <row r="86" spans="2:89" ht="18" customHeight="1">
      <c r="B86" s="13" t="s">
        <v>96</v>
      </c>
      <c r="C86" s="32">
        <v>30</v>
      </c>
      <c r="D86" s="271">
        <f t="shared" si="10"/>
        <v>0</v>
      </c>
    </row>
    <row r="87" spans="2:89" ht="18" customHeight="1">
      <c r="B87" s="13" t="s">
        <v>97</v>
      </c>
      <c r="C87" s="32">
        <v>30</v>
      </c>
      <c r="D87" s="271">
        <f t="shared" si="10"/>
        <v>0</v>
      </c>
    </row>
    <row r="88" spans="2:89" ht="18" customHeight="1">
      <c r="B88" s="13" t="s">
        <v>98</v>
      </c>
      <c r="C88" s="33">
        <v>6</v>
      </c>
      <c r="D88" s="271">
        <f>IF(C88&lt;0,1,0)</f>
        <v>0</v>
      </c>
    </row>
    <row r="89" spans="2:89" ht="18" customHeight="1"/>
    <row r="90" spans="2:89" ht="18" customHeight="1">
      <c r="B90" s="24" t="s">
        <v>99</v>
      </c>
      <c r="C90" s="272"/>
      <c r="D90" s="272"/>
      <c r="E90" s="272"/>
      <c r="F90" s="272"/>
      <c r="G90" s="272"/>
      <c r="H90" s="272"/>
      <c r="I90" s="272"/>
      <c r="J90" s="272"/>
      <c r="K90" s="272"/>
      <c r="L90" s="272"/>
      <c r="M90" s="272"/>
      <c r="N90" s="272"/>
      <c r="O90" s="272"/>
      <c r="P90" s="272"/>
      <c r="Q90" s="272"/>
      <c r="R90" s="272"/>
      <c r="S90" s="272"/>
      <c r="T90" s="272"/>
      <c r="U90" s="272"/>
      <c r="V90" s="272"/>
      <c r="W90" s="15"/>
      <c r="X90" s="15"/>
    </row>
    <row r="91" spans="2:89" ht="18" customHeight="1">
      <c r="D91" s="50" t="s">
        <v>37</v>
      </c>
    </row>
    <row r="92" spans="2:89" ht="18" customHeight="1">
      <c r="B92" s="13" t="s">
        <v>100</v>
      </c>
      <c r="C92" s="31">
        <v>5</v>
      </c>
      <c r="D92" s="271">
        <f t="shared" ref="D92:D93" si="11">IF(C92&lt;0,1,0)</f>
        <v>0</v>
      </c>
    </row>
    <row r="93" spans="2:89" ht="18" customHeight="1">
      <c r="B93" s="13" t="s">
        <v>101</v>
      </c>
      <c r="C93" s="307">
        <v>150000000</v>
      </c>
      <c r="D93" s="271">
        <f t="shared" si="11"/>
        <v>0</v>
      </c>
    </row>
    <row r="94" spans="2:89" ht="18" customHeight="1"/>
    <row r="95" spans="2:89" s="41" customFormat="1" ht="18" customHeight="1">
      <c r="B95" s="38" t="s">
        <v>41</v>
      </c>
      <c r="C95" s="40">
        <v>1</v>
      </c>
      <c r="D95" s="39">
        <f>C95+1</f>
        <v>2</v>
      </c>
      <c r="E95" s="39">
        <f t="shared" ref="E95:K95" si="12">D95+1</f>
        <v>3</v>
      </c>
      <c r="F95" s="39">
        <f t="shared" si="12"/>
        <v>4</v>
      </c>
      <c r="G95" s="39">
        <f t="shared" si="12"/>
        <v>5</v>
      </c>
      <c r="H95" s="39">
        <f t="shared" si="12"/>
        <v>6</v>
      </c>
      <c r="I95" s="39">
        <f t="shared" si="12"/>
        <v>7</v>
      </c>
      <c r="J95" s="39">
        <f t="shared" si="12"/>
        <v>8</v>
      </c>
      <c r="K95" s="39">
        <f t="shared" si="12"/>
        <v>9</v>
      </c>
      <c r="L95" s="39">
        <f>K95+1</f>
        <v>10</v>
      </c>
      <c r="M95" s="39">
        <f>L95+1</f>
        <v>11</v>
      </c>
      <c r="N95" s="39">
        <f>M95+1</f>
        <v>12</v>
      </c>
      <c r="O95" s="39">
        <f t="shared" ref="O95:V95" si="13">N95+1</f>
        <v>13</v>
      </c>
      <c r="P95" s="39">
        <f t="shared" si="13"/>
        <v>14</v>
      </c>
      <c r="Q95" s="39">
        <f t="shared" si="13"/>
        <v>15</v>
      </c>
      <c r="R95" s="39">
        <f t="shared" si="13"/>
        <v>16</v>
      </c>
      <c r="S95" s="39">
        <f t="shared" si="13"/>
        <v>17</v>
      </c>
      <c r="T95" s="39">
        <f t="shared" si="13"/>
        <v>18</v>
      </c>
      <c r="U95" s="39">
        <f t="shared" si="13"/>
        <v>19</v>
      </c>
      <c r="V95" s="39">
        <f t="shared" si="13"/>
        <v>20</v>
      </c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</row>
    <row r="96" spans="2:89" s="41" customFormat="1" ht="18" customHeight="1">
      <c r="B96" s="2" t="s">
        <v>102</v>
      </c>
      <c r="C96" s="51">
        <f>CashFlow!D34+CashFlow!D13+CashFlow!D25+SUM(CashFlow!D28:D30)+CashFlow!D36</f>
        <v>1937916666.6666665</v>
      </c>
      <c r="D96" s="52">
        <f>CashFlow!E34+CashFlow!E13+CashFlow!E25+SUM(CashFlow!E28:E30)+CashFlow!E36</f>
        <v>2210353555.5555553</v>
      </c>
      <c r="E96" s="52">
        <f>CashFlow!F34+CashFlow!F13+CashFlow!F25+SUM(CashFlow!F28:F30)+CashFlow!F36</f>
        <v>3236610580.6098166</v>
      </c>
      <c r="F96" s="52">
        <f>CashFlow!G34+CashFlow!G13+CashFlow!G25+SUM(CashFlow!G28:G30)+CashFlow!G36</f>
        <v>4045177959.708807</v>
      </c>
      <c r="G96" s="52">
        <f>CashFlow!H34+CashFlow!H13+CashFlow!H25+SUM(CashFlow!H28:H30)+CashFlow!H36</f>
        <v>4806144562.9905882</v>
      </c>
      <c r="H96" s="52">
        <f>CashFlow!I34+CashFlow!I13+CashFlow!I25+SUM(CashFlow!I28:I30)+CashFlow!I36</f>
        <v>813325771.23918605</v>
      </c>
      <c r="I96" s="52">
        <f>CashFlow!J34+CashFlow!J13+CashFlow!J25+SUM(CashFlow!J28:J30)+CashFlow!J36</f>
        <v>714016330.49850166</v>
      </c>
      <c r="J96" s="52">
        <f>CashFlow!K34+CashFlow!K13+CashFlow!K25+SUM(CashFlow!K28:K30)+CashFlow!K36</f>
        <v>534823622.08381671</v>
      </c>
      <c r="K96" s="52">
        <f>CashFlow!L34+CashFlow!L13+CashFlow!L25+SUM(CashFlow!L28:L30)+CashFlow!L36</f>
        <v>721622221.99111867</v>
      </c>
      <c r="L96" s="52">
        <f>CashFlow!M34+CashFlow!M13+CashFlow!M25+SUM(CashFlow!M28:M30)+CashFlow!M36</f>
        <v>770791985.87939489</v>
      </c>
      <c r="M96" s="52">
        <f>CashFlow!N34+CashFlow!N13+CashFlow!N25+SUM(CashFlow!N28:N30)+CashFlow!N36</f>
        <v>825192801.21452236</v>
      </c>
      <c r="N96" s="52">
        <f>CashFlow!O34+CashFlow!O13+CashFlow!O25+SUM(CashFlow!O28:O30)+CashFlow!O36</f>
        <v>755078984.24594021</v>
      </c>
      <c r="O96" s="52">
        <f>CashFlow!P34+CashFlow!P13+CashFlow!P25+SUM(CashFlow!P28:P30)+CashFlow!P36</f>
        <v>688585343.4326365</v>
      </c>
      <c r="P96" s="52">
        <f>CashFlow!Q34+CashFlow!Q13+CashFlow!Q25+SUM(CashFlow!Q28:Q30)+CashFlow!Q36</f>
        <v>625536265.50360262</v>
      </c>
      <c r="Q96" s="52">
        <f>CashFlow!R34+CashFlow!R13+CashFlow!R25+SUM(CashFlow!R28:R30)+CashFlow!R36</f>
        <v>565764099.06288159</v>
      </c>
      <c r="R96" s="52">
        <f>CashFlow!S34+CashFlow!S13+CashFlow!S25+SUM(CashFlow!S28:S30)+CashFlow!S36</f>
        <v>502987332.62355721</v>
      </c>
      <c r="S96" s="52">
        <f>CashFlow!T34+CashFlow!T13+CashFlow!T25+SUM(CashFlow!T28:T30)+CashFlow!T36</f>
        <v>443174782.35087752</v>
      </c>
      <c r="T96" s="52">
        <f>CashFlow!U34+CashFlow!U13+CashFlow!U25+SUM(CashFlow!U28:U30)+CashFlow!U36</f>
        <v>392302289.54876387</v>
      </c>
      <c r="U96" s="52">
        <f>CashFlow!V34+CashFlow!V13+CashFlow!V25+SUM(CashFlow!V28:V30)+CashFlow!V36</f>
        <v>344109427.88041532</v>
      </c>
      <c r="V96" s="300">
        <f>CashFlow!W34+CashFlow!W13+CashFlow!W25+SUM(CashFlow!W28:W30)+CashFlow!W36</f>
        <v>298463720.27570868</v>
      </c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</row>
    <row r="97" spans="2:22" ht="18" customHeight="1">
      <c r="B97" s="2" t="s">
        <v>103</v>
      </c>
      <c r="C97" s="302">
        <f>'Balance Sheet'!D10</f>
        <v>1937916666.6666665</v>
      </c>
      <c r="D97" s="299">
        <f>'Balance Sheet'!E10</f>
        <v>2210353555.5555553</v>
      </c>
      <c r="E97" s="299">
        <f>'Balance Sheet'!F10</f>
        <v>3236610580.6098166</v>
      </c>
      <c r="F97" s="299">
        <f>'Balance Sheet'!G10</f>
        <v>4045177959.708807</v>
      </c>
      <c r="G97" s="299">
        <f>'Balance Sheet'!H10</f>
        <v>150000000.00000039</v>
      </c>
      <c r="H97" s="299">
        <f>'Balance Sheet'!I10</f>
        <v>149999999.99999988</v>
      </c>
      <c r="I97" s="299">
        <f>'Balance Sheet'!J10</f>
        <v>150000000.00000024</v>
      </c>
      <c r="J97" s="299">
        <f>'Balance Sheet'!K10</f>
        <v>149999999.99999994</v>
      </c>
      <c r="K97" s="299">
        <f>'Balance Sheet'!L10</f>
        <v>149999999.99999997</v>
      </c>
      <c r="L97" s="299">
        <f>'Balance Sheet'!M10</f>
        <v>150000000.00000012</v>
      </c>
      <c r="M97" s="299">
        <f>'Balance Sheet'!N10</f>
        <v>150000000.00000012</v>
      </c>
      <c r="N97" s="299">
        <f>'Balance Sheet'!O10</f>
        <v>150000000.00000012</v>
      </c>
      <c r="O97" s="299">
        <f>'Balance Sheet'!P10</f>
        <v>150000000.00000012</v>
      </c>
      <c r="P97" s="299">
        <f>'Balance Sheet'!Q10</f>
        <v>150000000.00000012</v>
      </c>
      <c r="Q97" s="299">
        <f>'Balance Sheet'!R10</f>
        <v>150000000.00000012</v>
      </c>
      <c r="R97" s="299">
        <f>'Balance Sheet'!S10</f>
        <v>150000000.00000012</v>
      </c>
      <c r="S97" s="299">
        <f>'Balance Sheet'!T10</f>
        <v>150000000.00000012</v>
      </c>
      <c r="T97" s="299">
        <f>'Balance Sheet'!U10</f>
        <v>150000000.00000012</v>
      </c>
      <c r="U97" s="299">
        <f>'Balance Sheet'!V10</f>
        <v>150000000.00000012</v>
      </c>
      <c r="V97" s="303">
        <f>'Balance Sheet'!W10</f>
        <v>150000000.00000012</v>
      </c>
    </row>
    <row r="98" spans="2:22" ht="18" customHeight="1">
      <c r="B98" s="12" t="s">
        <v>104</v>
      </c>
      <c r="C98" s="304">
        <f t="shared" ref="C98:V98" si="14">IF(AND(C$95&gt;=$C$92,C$96&gt;=$C$93),C96-$C$93,0)</f>
        <v>0</v>
      </c>
      <c r="D98" s="305">
        <f t="shared" si="14"/>
        <v>0</v>
      </c>
      <c r="E98" s="305">
        <f t="shared" si="14"/>
        <v>0</v>
      </c>
      <c r="F98" s="305">
        <f t="shared" si="14"/>
        <v>0</v>
      </c>
      <c r="G98" s="305">
        <f t="shared" si="14"/>
        <v>4656144562.9905882</v>
      </c>
      <c r="H98" s="305">
        <f t="shared" si="14"/>
        <v>663325771.23918605</v>
      </c>
      <c r="I98" s="305">
        <f t="shared" si="14"/>
        <v>564016330.49850166</v>
      </c>
      <c r="J98" s="305">
        <f t="shared" si="14"/>
        <v>384823622.08381671</v>
      </c>
      <c r="K98" s="305">
        <f t="shared" si="14"/>
        <v>571622221.99111867</v>
      </c>
      <c r="L98" s="305">
        <f t="shared" si="14"/>
        <v>620791985.87939489</v>
      </c>
      <c r="M98" s="305">
        <f t="shared" si="14"/>
        <v>675192801.21452236</v>
      </c>
      <c r="N98" s="305">
        <f t="shared" si="14"/>
        <v>605078984.24594021</v>
      </c>
      <c r="O98" s="305">
        <f t="shared" si="14"/>
        <v>538585343.4326365</v>
      </c>
      <c r="P98" s="305">
        <f t="shared" si="14"/>
        <v>475536265.50360262</v>
      </c>
      <c r="Q98" s="305">
        <f t="shared" si="14"/>
        <v>415764099.06288159</v>
      </c>
      <c r="R98" s="305">
        <f t="shared" si="14"/>
        <v>352987332.62355721</v>
      </c>
      <c r="S98" s="305">
        <f t="shared" si="14"/>
        <v>293174782.35087752</v>
      </c>
      <c r="T98" s="305">
        <f t="shared" si="14"/>
        <v>242302289.54876387</v>
      </c>
      <c r="U98" s="305">
        <f t="shared" si="14"/>
        <v>194109427.88041532</v>
      </c>
      <c r="V98" s="306">
        <f t="shared" si="14"/>
        <v>148463720.27570868</v>
      </c>
    </row>
    <row r="99" spans="2:22" ht="18" customHeight="1">
      <c r="B99" s="104" t="str">
        <f>IF(MIN($C$97:$V$97)&lt;0,"ERROR NEGATIVE BALANCE","")</f>
        <v/>
      </c>
    </row>
    <row r="100" spans="2:22" ht="18" customHeight="1">
      <c r="B100" s="260" t="s">
        <v>105</v>
      </c>
      <c r="C100" s="271">
        <f>IF(C97&lt;0,1,0)</f>
        <v>0</v>
      </c>
      <c r="D100" s="271">
        <f t="shared" ref="D100:U100" si="15">IF(D97&lt;0,1,0)</f>
        <v>0</v>
      </c>
      <c r="E100" s="271">
        <f>IF(E97&lt;0,1,0)</f>
        <v>0</v>
      </c>
      <c r="F100" s="271">
        <f t="shared" si="15"/>
        <v>0</v>
      </c>
      <c r="G100" s="271">
        <f t="shared" si="15"/>
        <v>0</v>
      </c>
      <c r="H100" s="271">
        <f t="shared" si="15"/>
        <v>0</v>
      </c>
      <c r="I100" s="271">
        <f t="shared" si="15"/>
        <v>0</v>
      </c>
      <c r="J100" s="271">
        <f t="shared" si="15"/>
        <v>0</v>
      </c>
      <c r="K100" s="271">
        <f t="shared" si="15"/>
        <v>0</v>
      </c>
      <c r="L100" s="271">
        <f t="shared" si="15"/>
        <v>0</v>
      </c>
      <c r="M100" s="271">
        <f t="shared" si="15"/>
        <v>0</v>
      </c>
      <c r="N100" s="271">
        <f t="shared" si="15"/>
        <v>0</v>
      </c>
      <c r="O100" s="271">
        <f t="shared" si="15"/>
        <v>0</v>
      </c>
      <c r="P100" s="271">
        <f t="shared" si="15"/>
        <v>0</v>
      </c>
      <c r="Q100" s="271">
        <f t="shared" si="15"/>
        <v>0</v>
      </c>
      <c r="R100" s="271">
        <f t="shared" si="15"/>
        <v>0</v>
      </c>
      <c r="S100" s="271">
        <f t="shared" si="15"/>
        <v>0</v>
      </c>
      <c r="T100" s="271">
        <f t="shared" si="15"/>
        <v>0</v>
      </c>
      <c r="U100" s="271">
        <f t="shared" si="15"/>
        <v>0</v>
      </c>
      <c r="V100" s="271">
        <f>IF(V97&lt;0,1,0)</f>
        <v>0</v>
      </c>
    </row>
    <row r="101" spans="2:22" ht="18" customHeight="1">
      <c r="C101" s="301"/>
    </row>
    <row r="102" spans="2:22" ht="18" customHeight="1"/>
    <row r="103" spans="2:22" ht="18" customHeight="1"/>
    <row r="104" spans="2:22" ht="18" customHeight="1"/>
    <row r="105" spans="2:22" ht="18" customHeight="1"/>
    <row r="106" spans="2:22" ht="18" customHeight="1"/>
    <row r="107" spans="2:22" ht="18" customHeight="1"/>
    <row r="108" spans="2:22" ht="18" customHeight="1"/>
    <row r="109" spans="2:22" ht="18" customHeight="1"/>
    <row r="110" spans="2:22" ht="18" customHeight="1"/>
    <row r="111" spans="2:22" ht="18" customHeight="1"/>
    <row r="112" spans="2:2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</sheetData>
  <mergeCells count="1">
    <mergeCell ref="C6:E6"/>
  </mergeCells>
  <conditionalFormatting sqref="J16:J21">
    <cfRule type="cellIs" dxfId="19" priority="15" operator="greaterThan">
      <formula>0</formula>
    </cfRule>
  </conditionalFormatting>
  <conditionalFormatting sqref="D24:D25">
    <cfRule type="cellIs" dxfId="18" priority="14" operator="greaterThan">
      <formula>0</formula>
    </cfRule>
  </conditionalFormatting>
  <conditionalFormatting sqref="D29:D30">
    <cfRule type="cellIs" dxfId="17" priority="13" operator="greaterThan">
      <formula>0</formula>
    </cfRule>
  </conditionalFormatting>
  <conditionalFormatting sqref="F34">
    <cfRule type="cellIs" dxfId="16" priority="12" operator="greaterThan">
      <formula>0</formula>
    </cfRule>
  </conditionalFormatting>
  <conditionalFormatting sqref="F39:F46">
    <cfRule type="cellIs" dxfId="15" priority="11" operator="greaterThan">
      <formula>0</formula>
    </cfRule>
  </conditionalFormatting>
  <conditionalFormatting sqref="E51:E57">
    <cfRule type="cellIs" dxfId="14" priority="10" operator="greaterThan">
      <formula>0</formula>
    </cfRule>
  </conditionalFormatting>
  <conditionalFormatting sqref="J64:J66">
    <cfRule type="cellIs" dxfId="13" priority="9" operator="greaterThan">
      <formula>0</formula>
    </cfRule>
  </conditionalFormatting>
  <conditionalFormatting sqref="D70:D72">
    <cfRule type="cellIs" dxfId="12" priority="8" operator="greaterThan">
      <formula>0</formula>
    </cfRule>
  </conditionalFormatting>
  <conditionalFormatting sqref="D76:D81">
    <cfRule type="cellIs" dxfId="11" priority="7" operator="greaterThan">
      <formula>0</formula>
    </cfRule>
  </conditionalFormatting>
  <conditionalFormatting sqref="D85:D88">
    <cfRule type="cellIs" dxfId="10" priority="6" operator="greaterThan">
      <formula>0</formula>
    </cfRule>
  </conditionalFormatting>
  <conditionalFormatting sqref="C100:V100">
    <cfRule type="cellIs" dxfId="9" priority="5" operator="greaterThan">
      <formula>0</formula>
    </cfRule>
  </conditionalFormatting>
  <conditionalFormatting sqref="D92:D93">
    <cfRule type="cellIs" dxfId="8" priority="4" operator="greaterThan">
      <formula>0</formula>
    </cfRule>
  </conditionalFormatting>
  <conditionalFormatting sqref="K5:K7">
    <cfRule type="cellIs" dxfId="7" priority="3" operator="greaterThan">
      <formula>0</formula>
    </cfRule>
  </conditionalFormatting>
  <conditionalFormatting sqref="D11:D12">
    <cfRule type="cellIs" dxfId="6" priority="1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FBFE87E-EEE4-4999-BD39-26196C79C99B}">
          <x14:formula1>
            <xm:f>'Drop-Downs'!$B$5:$B$6</xm:f>
          </x14:formula1>
          <xm:sqref>C54:D54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B057-B007-46E8-BA19-D0A5DE5A8D9F}">
  <sheetPr codeName="Sheet12">
    <tabColor theme="1" tint="0.499984740745262"/>
  </sheetPr>
  <dimension ref="A1:X63"/>
  <sheetViews>
    <sheetView showGridLines="0" zoomScale="80" zoomScaleNormal="80" workbookViewId="0"/>
  </sheetViews>
  <sheetFormatPr defaultColWidth="8.85546875" defaultRowHeight="15.6"/>
  <cols>
    <col min="1" max="1" width="8.85546875" style="53"/>
    <col min="2" max="2" width="20.140625" style="53" bestFit="1" customWidth="1"/>
    <col min="3" max="3" width="24.7109375" style="53" bestFit="1" customWidth="1"/>
    <col min="4" max="4" width="141" style="53" bestFit="1" customWidth="1"/>
    <col min="5" max="16384" width="8.85546875" style="53"/>
  </cols>
  <sheetData>
    <row r="1" spans="1:24" s="287" customFormat="1" ht="21">
      <c r="A1" s="286" t="s">
        <v>9</v>
      </c>
    </row>
    <row r="2" spans="1:24" s="289" customFormat="1">
      <c r="A2" s="288" t="s">
        <v>106</v>
      </c>
    </row>
    <row r="12" spans="1:24"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</row>
    <row r="18" spans="2:24"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</row>
    <row r="22" spans="2:24">
      <c r="B22" s="192"/>
    </row>
    <row r="23" spans="2:24">
      <c r="B23" s="192"/>
    </row>
    <row r="24" spans="2:24">
      <c r="B24" s="192"/>
    </row>
    <row r="25" spans="2:24">
      <c r="B25" s="192"/>
    </row>
    <row r="26" spans="2:24">
      <c r="B26" s="192"/>
    </row>
    <row r="27" spans="2:24">
      <c r="B27" s="192"/>
    </row>
    <row r="28" spans="2:24">
      <c r="B28" s="192"/>
    </row>
    <row r="29" spans="2:24">
      <c r="B29" s="192"/>
    </row>
    <row r="30" spans="2:24"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</row>
    <row r="35" spans="2:24">
      <c r="B35" s="192"/>
    </row>
    <row r="36" spans="2:24">
      <c r="B36" s="192"/>
    </row>
    <row r="37" spans="2:24">
      <c r="B37" s="192"/>
    </row>
    <row r="38" spans="2:24"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</row>
    <row r="45" spans="2:24">
      <c r="B45" s="192"/>
    </row>
    <row r="46" spans="2:24">
      <c r="B46" s="192"/>
    </row>
    <row r="47" spans="2:24">
      <c r="B47" s="192"/>
    </row>
    <row r="48" spans="2:24"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</row>
    <row r="50" spans="2:24"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</row>
    <row r="59" spans="2:24">
      <c r="B59" s="192"/>
    </row>
    <row r="60" spans="2:24">
      <c r="B60" s="192"/>
    </row>
    <row r="61" spans="2:24">
      <c r="B61" s="192"/>
    </row>
    <row r="62" spans="2:24">
      <c r="B62" s="192"/>
    </row>
    <row r="63" spans="2:24">
      <c r="B63" s="19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186E-B3E8-4E7C-AE01-FBA6194062D0}">
  <sheetPr codeName="Sheet3">
    <tabColor theme="1" tint="0.499984740745262"/>
    <pageSetUpPr fitToPage="1"/>
  </sheetPr>
  <dimension ref="A1:X190"/>
  <sheetViews>
    <sheetView showGridLines="0" zoomScale="80" zoomScaleNormal="80" zoomScaleSheetLayoutView="80" workbookViewId="0">
      <pane xSplit="3" ySplit="3" topLeftCell="G37" activePane="bottomRight" state="frozen"/>
      <selection pane="bottomRight" activeCell="G37" sqref="G37"/>
      <selection pane="bottomLeft" activeCell="A4" sqref="A4"/>
      <selection pane="topRight" activeCell="D1" sqref="D1"/>
    </sheetView>
  </sheetViews>
  <sheetFormatPr defaultColWidth="8.7109375" defaultRowHeight="15.6" outlineLevelRow="1"/>
  <cols>
    <col min="1" max="1" width="3.7109375" style="2" customWidth="1"/>
    <col min="2" max="2" width="56.85546875" style="2" bestFit="1" customWidth="1"/>
    <col min="3" max="3" width="11.85546875" style="2" customWidth="1"/>
    <col min="4" max="4" width="7.7109375" style="2" customWidth="1"/>
    <col min="5" max="24" width="18.7109375" style="2" customWidth="1"/>
    <col min="25" max="16384" width="8.7109375" style="2"/>
  </cols>
  <sheetData>
    <row r="1" spans="1:24" s="183" customFormat="1" ht="21">
      <c r="A1" s="182" t="s">
        <v>10</v>
      </c>
    </row>
    <row r="2" spans="1:24" s="185" customFormat="1">
      <c r="A2" s="184" t="s">
        <v>107</v>
      </c>
      <c r="D2" s="186" t="s">
        <v>41</v>
      </c>
      <c r="E2" s="187">
        <v>1</v>
      </c>
      <c r="F2" s="187">
        <f>E2+1</f>
        <v>2</v>
      </c>
      <c r="G2" s="187">
        <f t="shared" ref="G2:M2" si="0">F2+1</f>
        <v>3</v>
      </c>
      <c r="H2" s="187">
        <f t="shared" si="0"/>
        <v>4</v>
      </c>
      <c r="I2" s="187">
        <f t="shared" si="0"/>
        <v>5</v>
      </c>
      <c r="J2" s="187">
        <f t="shared" si="0"/>
        <v>6</v>
      </c>
      <c r="K2" s="187">
        <f t="shared" si="0"/>
        <v>7</v>
      </c>
      <c r="L2" s="187">
        <f t="shared" si="0"/>
        <v>8</v>
      </c>
      <c r="M2" s="187">
        <f t="shared" si="0"/>
        <v>9</v>
      </c>
      <c r="N2" s="187">
        <f>M2+1</f>
        <v>10</v>
      </c>
      <c r="O2" s="187">
        <f>N2+1</f>
        <v>11</v>
      </c>
      <c r="P2" s="187">
        <f>O2+1</f>
        <v>12</v>
      </c>
      <c r="Q2" s="187">
        <f t="shared" ref="Q2:X2" si="1">P2+1</f>
        <v>13</v>
      </c>
      <c r="R2" s="187">
        <f t="shared" si="1"/>
        <v>14</v>
      </c>
      <c r="S2" s="187">
        <f t="shared" si="1"/>
        <v>15</v>
      </c>
      <c r="T2" s="187">
        <f t="shared" si="1"/>
        <v>16</v>
      </c>
      <c r="U2" s="187">
        <f t="shared" si="1"/>
        <v>17</v>
      </c>
      <c r="V2" s="187">
        <f t="shared" si="1"/>
        <v>18</v>
      </c>
      <c r="W2" s="187">
        <f t="shared" si="1"/>
        <v>19</v>
      </c>
      <c r="X2" s="187">
        <f t="shared" si="1"/>
        <v>20</v>
      </c>
    </row>
    <row r="3" spans="1:24" customFormat="1" ht="18" customHeight="1">
      <c r="C3" s="241"/>
      <c r="D3" s="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</row>
    <row r="4" spans="1:24" s="15" customFormat="1" ht="18" customHeight="1">
      <c r="A4" s="115"/>
      <c r="B4" s="116" t="s">
        <v>108</v>
      </c>
      <c r="C4" s="117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</row>
    <row r="5" spans="1:24" customFormat="1" ht="18" customHeight="1" outlineLevel="1">
      <c r="A5" s="1"/>
      <c r="B5" s="1"/>
      <c r="C5" s="1"/>
    </row>
    <row r="6" spans="1:24" ht="18" customHeight="1" outlineLevel="1">
      <c r="A6" s="37"/>
      <c r="B6" s="110" t="str">
        <f>'Control Panel'!B16</f>
        <v>Land</v>
      </c>
      <c r="C6" s="110"/>
      <c r="D6" s="11"/>
      <c r="E6" s="155">
        <f>IFERROR(INDEX('Control Panel'!$D16:$H16,MATCH(E$2,'Control Panel'!$D$15:$H$15,0)),0)*'Control Panel'!$C16</f>
        <v>100000000</v>
      </c>
      <c r="F6" s="155">
        <f>IFERROR(INDEX('Control Panel'!$D16:$H16,MATCH(F$2,'Control Panel'!$D$15:$H$15,0)),0)*'Control Panel'!$C16</f>
        <v>0</v>
      </c>
      <c r="G6" s="155">
        <f>IFERROR(INDEX('Control Panel'!$D16:$H16,MATCH(G$2,'Control Panel'!$D$15:$H$15,0)),0)*'Control Panel'!$C16</f>
        <v>0</v>
      </c>
      <c r="H6" s="155">
        <f>IFERROR(INDEX('Control Panel'!$D16:$H16,MATCH(H$2,'Control Panel'!$D$15:$H$15,0)),0)*'Control Panel'!$C16</f>
        <v>0</v>
      </c>
      <c r="I6" s="155">
        <f>IFERROR(INDEX('Control Panel'!$D16:$H16,MATCH(I$2,'Control Panel'!$D$15:$H$15,0)),0)*'Control Panel'!$C16</f>
        <v>0</v>
      </c>
      <c r="J6" s="155">
        <f>IFERROR(INDEX('Control Panel'!$D16:$H16,MATCH(J$2,'Control Panel'!$D$15:$H$15,0)),0)*'Control Panel'!$C16</f>
        <v>0</v>
      </c>
      <c r="K6" s="155">
        <f>IFERROR(INDEX('Control Panel'!$D16:$H16,MATCH(K$2,'Control Panel'!$D$15:$H$15,0)),0)*'Control Panel'!$C16</f>
        <v>0</v>
      </c>
      <c r="L6" s="155">
        <f>IFERROR(INDEX('Control Panel'!$D16:$H16,MATCH(L$2,'Control Panel'!$D$15:$H$15,0)),0)*'Control Panel'!$C16</f>
        <v>0</v>
      </c>
      <c r="M6" s="155">
        <f>IFERROR(INDEX('Control Panel'!$D16:$H16,MATCH(M$2,'Control Panel'!$D$15:$H$15,0)),0)*'Control Panel'!$C16</f>
        <v>0</v>
      </c>
      <c r="N6" s="155">
        <f>IFERROR(INDEX('Control Panel'!$D16:$H16,MATCH(N$2,'Control Panel'!$D$15:$H$15,0)),0)*'Control Panel'!$C16</f>
        <v>0</v>
      </c>
      <c r="O6" s="155">
        <f>IFERROR(INDEX('Control Panel'!$D16:$H16,MATCH(O$2,'Control Panel'!$D$15:$H$15,0)),0)*'Control Panel'!$C16</f>
        <v>0</v>
      </c>
      <c r="P6" s="155">
        <f>IFERROR(INDEX('Control Panel'!$D16:$H16,MATCH(P$2,'Control Panel'!$D$15:$H$15,0)),0)*'Control Panel'!$C16</f>
        <v>0</v>
      </c>
      <c r="Q6" s="155">
        <f>IFERROR(INDEX('Control Panel'!$D16:$H16,MATCH(Q$2,'Control Panel'!$D$15:$H$15,0)),0)*'Control Panel'!$C16</f>
        <v>0</v>
      </c>
      <c r="R6" s="155">
        <f>IFERROR(INDEX('Control Panel'!$D16:$H16,MATCH(R$2,'Control Panel'!$D$15:$H$15,0)),0)*'Control Panel'!$C16</f>
        <v>0</v>
      </c>
      <c r="S6" s="155">
        <f>IFERROR(INDEX('Control Panel'!$D16:$H16,MATCH(S$2,'Control Panel'!$D$15:$H$15,0)),0)*'Control Panel'!$C16</f>
        <v>0</v>
      </c>
      <c r="T6" s="155">
        <f>IFERROR(INDEX('Control Panel'!$D16:$H16,MATCH(T$2,'Control Panel'!$D$15:$H$15,0)),0)*'Control Panel'!$C16</f>
        <v>0</v>
      </c>
      <c r="U6" s="155">
        <f>IFERROR(INDEX('Control Panel'!$D16:$H16,MATCH(U$2,'Control Panel'!$D$15:$H$15,0)),0)*'Control Panel'!$C16</f>
        <v>0</v>
      </c>
      <c r="V6" s="155">
        <f>IFERROR(INDEX('Control Panel'!$D16:$H16,MATCH(V$2,'Control Panel'!$D$15:$H$15,0)),0)*'Control Panel'!$C16</f>
        <v>0</v>
      </c>
      <c r="W6" s="155">
        <f>IFERROR(INDEX('Control Panel'!$D16:$H16,MATCH(W$2,'Control Panel'!$D$15:$H$15,0)),0)*'Control Panel'!$C16</f>
        <v>0</v>
      </c>
      <c r="X6" s="155">
        <f>IFERROR(INDEX('Control Panel'!$D16:$H16,MATCH(X$2,'Control Panel'!$D$15:$H$15,0)),0)*'Control Panel'!$C16</f>
        <v>0</v>
      </c>
    </row>
    <row r="7" spans="1:24" ht="18" customHeight="1" outlineLevel="1">
      <c r="A7" s="37"/>
      <c r="B7" s="110" t="str">
        <f>'Control Panel'!B17</f>
        <v>Construction</v>
      </c>
      <c r="C7" s="110"/>
      <c r="D7" s="11"/>
      <c r="E7" s="155">
        <f>IFERROR(INDEX('Control Panel'!$D17:$H17,MATCH(E$2,'Control Panel'!$D$15:$H$15,0)),0)*'Control Panel'!$C17</f>
        <v>550000000</v>
      </c>
      <c r="F7" s="155">
        <f>IFERROR(INDEX('Control Panel'!$D17:$H17,MATCH(F$2,'Control Panel'!$D$15:$H$15,0)),0)*'Control Panel'!$C17</f>
        <v>550000000</v>
      </c>
      <c r="G7" s="155">
        <f>IFERROR(INDEX('Control Panel'!$D17:$H17,MATCH(G$2,'Control Panel'!$D$15:$H$15,0)),0)*'Control Panel'!$C17</f>
        <v>0</v>
      </c>
      <c r="H7" s="155">
        <f>IFERROR(INDEX('Control Panel'!$D17:$H17,MATCH(H$2,'Control Panel'!$D$15:$H$15,0)),0)*'Control Panel'!$C17</f>
        <v>0</v>
      </c>
      <c r="I7" s="155">
        <f>IFERROR(INDEX('Control Panel'!$D17:$H17,MATCH(I$2,'Control Panel'!$D$15:$H$15,0)),0)*'Control Panel'!$C17</f>
        <v>0</v>
      </c>
      <c r="J7" s="155">
        <f>IFERROR(INDEX('Control Panel'!$D17:$H17,MATCH(J$2,'Control Panel'!$D$15:$H$15,0)),0)*'Control Panel'!$C17</f>
        <v>0</v>
      </c>
      <c r="K7" s="155">
        <f>IFERROR(INDEX('Control Panel'!$D17:$H17,MATCH(K$2,'Control Panel'!$D$15:$H$15,0)),0)*'Control Panel'!$C17</f>
        <v>0</v>
      </c>
      <c r="L7" s="155">
        <f>IFERROR(INDEX('Control Panel'!$D17:$H17,MATCH(L$2,'Control Panel'!$D$15:$H$15,0)),0)*'Control Panel'!$C17</f>
        <v>0</v>
      </c>
      <c r="M7" s="155">
        <f>IFERROR(INDEX('Control Panel'!$D17:$H17,MATCH(M$2,'Control Panel'!$D$15:$H$15,0)),0)*'Control Panel'!$C17</f>
        <v>0</v>
      </c>
      <c r="N7" s="155">
        <f>IFERROR(INDEX('Control Panel'!$D17:$H17,MATCH(N$2,'Control Panel'!$D$15:$H$15,0)),0)*'Control Panel'!$C17</f>
        <v>0</v>
      </c>
      <c r="O7" s="155">
        <f>IFERROR(INDEX('Control Panel'!$D17:$H17,MATCH(O$2,'Control Panel'!$D$15:$H$15,0)),0)*'Control Panel'!$C17</f>
        <v>0</v>
      </c>
      <c r="P7" s="155">
        <f>IFERROR(INDEX('Control Panel'!$D17:$H17,MATCH(P$2,'Control Panel'!$D$15:$H$15,0)),0)*'Control Panel'!$C17</f>
        <v>0</v>
      </c>
      <c r="Q7" s="155">
        <f>IFERROR(INDEX('Control Panel'!$D17:$H17,MATCH(Q$2,'Control Panel'!$D$15:$H$15,0)),0)*'Control Panel'!$C17</f>
        <v>0</v>
      </c>
      <c r="R7" s="155">
        <f>IFERROR(INDEX('Control Panel'!$D17:$H17,MATCH(R$2,'Control Panel'!$D$15:$H$15,0)),0)*'Control Panel'!$C17</f>
        <v>0</v>
      </c>
      <c r="S7" s="155">
        <f>IFERROR(INDEX('Control Panel'!$D17:$H17,MATCH(S$2,'Control Panel'!$D$15:$H$15,0)),0)*'Control Panel'!$C17</f>
        <v>0</v>
      </c>
      <c r="T7" s="155">
        <f>IFERROR(INDEX('Control Panel'!$D17:$H17,MATCH(T$2,'Control Panel'!$D$15:$H$15,0)),0)*'Control Panel'!$C17</f>
        <v>0</v>
      </c>
      <c r="U7" s="155">
        <f>IFERROR(INDEX('Control Panel'!$D17:$H17,MATCH(U$2,'Control Panel'!$D$15:$H$15,0)),0)*'Control Panel'!$C17</f>
        <v>0</v>
      </c>
      <c r="V7" s="155">
        <f>IFERROR(INDEX('Control Panel'!$D17:$H17,MATCH(V$2,'Control Panel'!$D$15:$H$15,0)),0)*'Control Panel'!$C17</f>
        <v>0</v>
      </c>
      <c r="W7" s="155">
        <f>IFERROR(INDEX('Control Panel'!$D17:$H17,MATCH(W$2,'Control Panel'!$D$15:$H$15,0)),0)*'Control Panel'!$C17</f>
        <v>0</v>
      </c>
      <c r="X7" s="155">
        <f>IFERROR(INDEX('Control Panel'!$D17:$H17,MATCH(X$2,'Control Panel'!$D$15:$H$15,0)),0)*'Control Panel'!$C17</f>
        <v>0</v>
      </c>
    </row>
    <row r="8" spans="1:24" ht="18" customHeight="1" outlineLevel="1">
      <c r="A8" s="37"/>
      <c r="B8" s="110" t="str">
        <f>'Control Panel'!B18</f>
        <v>Equipment</v>
      </c>
      <c r="C8" s="110"/>
      <c r="D8" s="11"/>
      <c r="E8" s="155">
        <f>IFERROR(INDEX('Control Panel'!$D18:$H18,MATCH(E$2,'Control Panel'!$D$15:$H$15,0)),0)*'Control Panel'!$C18</f>
        <v>0</v>
      </c>
      <c r="F8" s="155">
        <f>IFERROR(INDEX('Control Panel'!$D18:$H18,MATCH(F$2,'Control Panel'!$D$15:$H$15,0)),0)*'Control Panel'!$C18</f>
        <v>3000000000</v>
      </c>
      <c r="G8" s="155">
        <f>IFERROR(INDEX('Control Panel'!$D18:$H18,MATCH(G$2,'Control Panel'!$D$15:$H$15,0)),0)*'Control Panel'!$C18</f>
        <v>3000000000</v>
      </c>
      <c r="H8" s="155">
        <f>IFERROR(INDEX('Control Panel'!$D18:$H18,MATCH(H$2,'Control Panel'!$D$15:$H$15,0)),0)*'Control Panel'!$C18</f>
        <v>0</v>
      </c>
      <c r="I8" s="155">
        <f>IFERROR(INDEX('Control Panel'!$D18:$H18,MATCH(I$2,'Control Panel'!$D$15:$H$15,0)),0)*'Control Panel'!$C18</f>
        <v>0</v>
      </c>
      <c r="J8" s="155">
        <f>IFERROR(INDEX('Control Panel'!$D18:$H18,MATCH(J$2,'Control Panel'!$D$15:$H$15,0)),0)*'Control Panel'!$C18</f>
        <v>0</v>
      </c>
      <c r="K8" s="155">
        <f>IFERROR(INDEX('Control Panel'!$D18:$H18,MATCH(K$2,'Control Panel'!$D$15:$H$15,0)),0)*'Control Panel'!$C18</f>
        <v>0</v>
      </c>
      <c r="L8" s="155">
        <f>IFERROR(INDEX('Control Panel'!$D18:$H18,MATCH(L$2,'Control Panel'!$D$15:$H$15,0)),0)*'Control Panel'!$C18</f>
        <v>0</v>
      </c>
      <c r="M8" s="155">
        <f>IFERROR(INDEX('Control Panel'!$D18:$H18,MATCH(M$2,'Control Panel'!$D$15:$H$15,0)),0)*'Control Panel'!$C18</f>
        <v>0</v>
      </c>
      <c r="N8" s="155">
        <f>IFERROR(INDEX('Control Panel'!$D18:$H18,MATCH(N$2,'Control Panel'!$D$15:$H$15,0)),0)*'Control Panel'!$C18</f>
        <v>0</v>
      </c>
      <c r="O8" s="155">
        <f>IFERROR(INDEX('Control Panel'!$D18:$H18,MATCH(O$2,'Control Panel'!$D$15:$H$15,0)),0)*'Control Panel'!$C18</f>
        <v>0</v>
      </c>
      <c r="P8" s="155">
        <f>IFERROR(INDEX('Control Panel'!$D18:$H18,MATCH(P$2,'Control Panel'!$D$15:$H$15,0)),0)*'Control Panel'!$C18</f>
        <v>0</v>
      </c>
      <c r="Q8" s="155">
        <f>IFERROR(INDEX('Control Panel'!$D18:$H18,MATCH(Q$2,'Control Panel'!$D$15:$H$15,0)),0)*'Control Panel'!$C18</f>
        <v>0</v>
      </c>
      <c r="R8" s="155">
        <f>IFERROR(INDEX('Control Panel'!$D18:$H18,MATCH(R$2,'Control Panel'!$D$15:$H$15,0)),0)*'Control Panel'!$C18</f>
        <v>0</v>
      </c>
      <c r="S8" s="155">
        <f>IFERROR(INDEX('Control Panel'!$D18:$H18,MATCH(S$2,'Control Panel'!$D$15:$H$15,0)),0)*'Control Panel'!$C18</f>
        <v>0</v>
      </c>
      <c r="T8" s="155">
        <f>IFERROR(INDEX('Control Panel'!$D18:$H18,MATCH(T$2,'Control Panel'!$D$15:$H$15,0)),0)*'Control Panel'!$C18</f>
        <v>0</v>
      </c>
      <c r="U8" s="155">
        <f>IFERROR(INDEX('Control Panel'!$D18:$H18,MATCH(U$2,'Control Panel'!$D$15:$H$15,0)),0)*'Control Panel'!$C18</f>
        <v>0</v>
      </c>
      <c r="V8" s="155">
        <f>IFERROR(INDEX('Control Panel'!$D18:$H18,MATCH(V$2,'Control Panel'!$D$15:$H$15,0)),0)*'Control Panel'!$C18</f>
        <v>0</v>
      </c>
      <c r="W8" s="155">
        <f>IFERROR(INDEX('Control Panel'!$D18:$H18,MATCH(W$2,'Control Panel'!$D$15:$H$15,0)),0)*'Control Panel'!$C18</f>
        <v>0</v>
      </c>
      <c r="X8" s="155">
        <f>IFERROR(INDEX('Control Panel'!$D18:$H18,MATCH(X$2,'Control Panel'!$D$15:$H$15,0)),0)*'Control Panel'!$C18</f>
        <v>0</v>
      </c>
    </row>
    <row r="9" spans="1:24" ht="18" customHeight="1" outlineLevel="1">
      <c r="A9" s="37"/>
      <c r="B9" s="110" t="str">
        <f>'Control Panel'!B19</f>
        <v>Administrative Expenses directly attributable to facility construction</v>
      </c>
      <c r="C9" s="110"/>
      <c r="D9" s="11"/>
      <c r="E9" s="155">
        <f>IFERROR(INDEX('Control Panel'!$D19:$H19,MATCH(E$2,'Control Panel'!$D$15:$H$15,0)),0)*'Control Panel'!$C19</f>
        <v>25000000</v>
      </c>
      <c r="F9" s="155">
        <f>IFERROR(INDEX('Control Panel'!$D19:$H19,MATCH(F$2,'Control Panel'!$D$15:$H$15,0)),0)*'Control Panel'!$C19</f>
        <v>25000000</v>
      </c>
      <c r="G9" s="155">
        <f>IFERROR(INDEX('Control Panel'!$D19:$H19,MATCH(G$2,'Control Panel'!$D$15:$H$15,0)),0)*'Control Panel'!$C19</f>
        <v>50000000</v>
      </c>
      <c r="H9" s="155">
        <f>IFERROR(INDEX('Control Panel'!$D19:$H19,MATCH(H$2,'Control Panel'!$D$15:$H$15,0)),0)*'Control Panel'!$C19</f>
        <v>0</v>
      </c>
      <c r="I9" s="155">
        <f>IFERROR(INDEX('Control Panel'!$D19:$H19,MATCH(I$2,'Control Panel'!$D$15:$H$15,0)),0)*'Control Panel'!$C19</f>
        <v>0</v>
      </c>
      <c r="J9" s="155">
        <f>IFERROR(INDEX('Control Panel'!$D19:$H19,MATCH(J$2,'Control Panel'!$D$15:$H$15,0)),0)*'Control Panel'!$C19</f>
        <v>0</v>
      </c>
      <c r="K9" s="155">
        <f>IFERROR(INDEX('Control Panel'!$D19:$H19,MATCH(K$2,'Control Panel'!$D$15:$H$15,0)),0)*'Control Panel'!$C19</f>
        <v>0</v>
      </c>
      <c r="L9" s="155">
        <f>IFERROR(INDEX('Control Panel'!$D19:$H19,MATCH(L$2,'Control Panel'!$D$15:$H$15,0)),0)*'Control Panel'!$C19</f>
        <v>0</v>
      </c>
      <c r="M9" s="155">
        <f>IFERROR(INDEX('Control Panel'!$D19:$H19,MATCH(M$2,'Control Panel'!$D$15:$H$15,0)),0)*'Control Panel'!$C19</f>
        <v>0</v>
      </c>
      <c r="N9" s="155">
        <f>IFERROR(INDEX('Control Panel'!$D19:$H19,MATCH(N$2,'Control Panel'!$D$15:$H$15,0)),0)*'Control Panel'!$C19</f>
        <v>0</v>
      </c>
      <c r="O9" s="155">
        <f>IFERROR(INDEX('Control Panel'!$D19:$H19,MATCH(O$2,'Control Panel'!$D$15:$H$15,0)),0)*'Control Panel'!$C19</f>
        <v>0</v>
      </c>
      <c r="P9" s="155">
        <f>IFERROR(INDEX('Control Panel'!$D19:$H19,MATCH(P$2,'Control Panel'!$D$15:$H$15,0)),0)*'Control Panel'!$C19</f>
        <v>0</v>
      </c>
      <c r="Q9" s="155">
        <f>IFERROR(INDEX('Control Panel'!$D19:$H19,MATCH(Q$2,'Control Panel'!$D$15:$H$15,0)),0)*'Control Panel'!$C19</f>
        <v>0</v>
      </c>
      <c r="R9" s="155">
        <f>IFERROR(INDEX('Control Panel'!$D19:$H19,MATCH(R$2,'Control Panel'!$D$15:$H$15,0)),0)*'Control Panel'!$C19</f>
        <v>0</v>
      </c>
      <c r="S9" s="155">
        <f>IFERROR(INDEX('Control Panel'!$D19:$H19,MATCH(S$2,'Control Panel'!$D$15:$H$15,0)),0)*'Control Panel'!$C19</f>
        <v>0</v>
      </c>
      <c r="T9" s="155">
        <f>IFERROR(INDEX('Control Panel'!$D19:$H19,MATCH(T$2,'Control Panel'!$D$15:$H$15,0)),0)*'Control Panel'!$C19</f>
        <v>0</v>
      </c>
      <c r="U9" s="155">
        <f>IFERROR(INDEX('Control Panel'!$D19:$H19,MATCH(U$2,'Control Panel'!$D$15:$H$15,0)),0)*'Control Panel'!$C19</f>
        <v>0</v>
      </c>
      <c r="V9" s="155">
        <f>IFERROR(INDEX('Control Panel'!$D19:$H19,MATCH(V$2,'Control Panel'!$D$15:$H$15,0)),0)*'Control Panel'!$C19</f>
        <v>0</v>
      </c>
      <c r="W9" s="155">
        <f>IFERROR(INDEX('Control Panel'!$D19:$H19,MATCH(W$2,'Control Panel'!$D$15:$H$15,0)),0)*'Control Panel'!$C19</f>
        <v>0</v>
      </c>
      <c r="X9" s="155">
        <f>IFERROR(INDEX('Control Panel'!$D19:$H19,MATCH(X$2,'Control Panel'!$D$15:$H$15,0)),0)*'Control Panel'!$C19</f>
        <v>0</v>
      </c>
    </row>
    <row r="10" spans="1:24" ht="18" customHeight="1" outlineLevel="1">
      <c r="A10" s="37"/>
      <c r="B10" s="110" t="str">
        <f>'Control Panel'!B20</f>
        <v>Infrastructure Improvements</v>
      </c>
      <c r="C10" s="110"/>
      <c r="D10" s="11"/>
      <c r="E10" s="155">
        <f>IFERROR(INDEX('Control Panel'!$D20:$H20,MATCH(E$2,'Control Panel'!$D$15:$H$15,0)),0)*'Control Panel'!$C20</f>
        <v>25000000</v>
      </c>
      <c r="F10" s="155">
        <f>IFERROR(INDEX('Control Panel'!$D20:$H20,MATCH(F$2,'Control Panel'!$D$15:$H$15,0)),0)*'Control Panel'!$C20</f>
        <v>25000000</v>
      </c>
      <c r="G10" s="155">
        <f>IFERROR(INDEX('Control Panel'!$D20:$H20,MATCH(G$2,'Control Panel'!$D$15:$H$15,0)),0)*'Control Panel'!$C20</f>
        <v>50000000</v>
      </c>
      <c r="H10" s="155">
        <f>IFERROR(INDEX('Control Panel'!$D20:$H20,MATCH(H$2,'Control Panel'!$D$15:$H$15,0)),0)*'Control Panel'!$C20</f>
        <v>0</v>
      </c>
      <c r="I10" s="155">
        <f>IFERROR(INDEX('Control Panel'!$D20:$H20,MATCH(I$2,'Control Panel'!$D$15:$H$15,0)),0)*'Control Panel'!$C20</f>
        <v>0</v>
      </c>
      <c r="J10" s="155">
        <f>IFERROR(INDEX('Control Panel'!$D20:$H20,MATCH(J$2,'Control Panel'!$D$15:$H$15,0)),0)*'Control Panel'!$C20</f>
        <v>0</v>
      </c>
      <c r="K10" s="155">
        <f>IFERROR(INDEX('Control Panel'!$D20:$H20,MATCH(K$2,'Control Panel'!$D$15:$H$15,0)),0)*'Control Panel'!$C20</f>
        <v>0</v>
      </c>
      <c r="L10" s="155">
        <f>IFERROR(INDEX('Control Panel'!$D20:$H20,MATCH(L$2,'Control Panel'!$D$15:$H$15,0)),0)*'Control Panel'!$C20</f>
        <v>0</v>
      </c>
      <c r="M10" s="155">
        <f>IFERROR(INDEX('Control Panel'!$D20:$H20,MATCH(M$2,'Control Panel'!$D$15:$H$15,0)),0)*'Control Panel'!$C20</f>
        <v>0</v>
      </c>
      <c r="N10" s="155">
        <f>IFERROR(INDEX('Control Panel'!$D20:$H20,MATCH(N$2,'Control Panel'!$D$15:$H$15,0)),0)*'Control Panel'!$C20</f>
        <v>0</v>
      </c>
      <c r="O10" s="155">
        <f>IFERROR(INDEX('Control Panel'!$D20:$H20,MATCH(O$2,'Control Panel'!$D$15:$H$15,0)),0)*'Control Panel'!$C20</f>
        <v>0</v>
      </c>
      <c r="P10" s="155">
        <f>IFERROR(INDEX('Control Panel'!$D20:$H20,MATCH(P$2,'Control Panel'!$D$15:$H$15,0)),0)*'Control Panel'!$C20</f>
        <v>0</v>
      </c>
      <c r="Q10" s="155">
        <f>IFERROR(INDEX('Control Panel'!$D20:$H20,MATCH(Q$2,'Control Panel'!$D$15:$H$15,0)),0)*'Control Panel'!$C20</f>
        <v>0</v>
      </c>
      <c r="R10" s="155">
        <f>IFERROR(INDEX('Control Panel'!$D20:$H20,MATCH(R$2,'Control Panel'!$D$15:$H$15,0)),0)*'Control Panel'!$C20</f>
        <v>0</v>
      </c>
      <c r="S10" s="155">
        <f>IFERROR(INDEX('Control Panel'!$D20:$H20,MATCH(S$2,'Control Panel'!$D$15:$H$15,0)),0)*'Control Panel'!$C20</f>
        <v>0</v>
      </c>
      <c r="T10" s="155">
        <f>IFERROR(INDEX('Control Panel'!$D20:$H20,MATCH(T$2,'Control Panel'!$D$15:$H$15,0)),0)*'Control Panel'!$C20</f>
        <v>0</v>
      </c>
      <c r="U10" s="155">
        <f>IFERROR(INDEX('Control Panel'!$D20:$H20,MATCH(U$2,'Control Panel'!$D$15:$H$15,0)),0)*'Control Panel'!$C20</f>
        <v>0</v>
      </c>
      <c r="V10" s="155">
        <f>IFERROR(INDEX('Control Panel'!$D20:$H20,MATCH(V$2,'Control Panel'!$D$15:$H$15,0)),0)*'Control Panel'!$C20</f>
        <v>0</v>
      </c>
      <c r="W10" s="155">
        <f>IFERROR(INDEX('Control Panel'!$D20:$H20,MATCH(W$2,'Control Panel'!$D$15:$H$15,0)),0)*'Control Panel'!$C20</f>
        <v>0</v>
      </c>
      <c r="X10" s="155">
        <f>IFERROR(INDEX('Control Panel'!$D20:$H20,MATCH(X$2,'Control Panel'!$D$15:$H$15,0)),0)*'Control Panel'!$C20</f>
        <v>0</v>
      </c>
    </row>
    <row r="11" spans="1:24" ht="18" customHeight="1" outlineLevel="1">
      <c r="A11" s="37"/>
      <c r="B11" s="110" t="str">
        <f>'Control Panel'!B21</f>
        <v>Other Capital Investment</v>
      </c>
      <c r="C11" s="110"/>
      <c r="D11" s="11"/>
      <c r="E11" s="155">
        <f>IFERROR(INDEX('Control Panel'!$D21:$H21,MATCH(E$2,'Control Panel'!$D$15:$H$15,0)),0)*'Control Panel'!$C21</f>
        <v>150000000</v>
      </c>
      <c r="F11" s="155">
        <f>IFERROR(INDEX('Control Panel'!$D21:$H21,MATCH(F$2,'Control Panel'!$D$15:$H$15,0)),0)*'Control Panel'!$C21</f>
        <v>150000000</v>
      </c>
      <c r="G11" s="155">
        <f>IFERROR(INDEX('Control Panel'!$D21:$H21,MATCH(G$2,'Control Panel'!$D$15:$H$15,0)),0)*'Control Panel'!$C21</f>
        <v>300000000</v>
      </c>
      <c r="H11" s="155">
        <f>IFERROR(INDEX('Control Panel'!$D21:$H21,MATCH(H$2,'Control Panel'!$D$15:$H$15,0)),0)*'Control Panel'!$C21</f>
        <v>0</v>
      </c>
      <c r="I11" s="155">
        <f>IFERROR(INDEX('Control Panel'!$D21:$H21,MATCH(I$2,'Control Panel'!$D$15:$H$15,0)),0)*'Control Panel'!$C21</f>
        <v>0</v>
      </c>
      <c r="J11" s="155">
        <f>IFERROR(INDEX('Control Panel'!$D21:$H21,MATCH(J$2,'Control Panel'!$D$15:$H$15,0)),0)*'Control Panel'!$C21</f>
        <v>0</v>
      </c>
      <c r="K11" s="155">
        <f>IFERROR(INDEX('Control Panel'!$D21:$H21,MATCH(K$2,'Control Panel'!$D$15:$H$15,0)),0)*'Control Panel'!$C21</f>
        <v>0</v>
      </c>
      <c r="L11" s="155">
        <f>IFERROR(INDEX('Control Panel'!$D21:$H21,MATCH(L$2,'Control Panel'!$D$15:$H$15,0)),0)*'Control Panel'!$C21</f>
        <v>0</v>
      </c>
      <c r="M11" s="155">
        <f>IFERROR(INDEX('Control Panel'!$D21:$H21,MATCH(M$2,'Control Panel'!$D$15:$H$15,0)),0)*'Control Panel'!$C21</f>
        <v>0</v>
      </c>
      <c r="N11" s="155">
        <f>IFERROR(INDEX('Control Panel'!$D21:$H21,MATCH(N$2,'Control Panel'!$D$15:$H$15,0)),0)*'Control Panel'!$C21</f>
        <v>0</v>
      </c>
      <c r="O11" s="155">
        <f>IFERROR(INDEX('Control Panel'!$D21:$H21,MATCH(O$2,'Control Panel'!$D$15:$H$15,0)),0)*'Control Panel'!$C21</f>
        <v>0</v>
      </c>
      <c r="P11" s="155">
        <f>IFERROR(INDEX('Control Panel'!$D21:$H21,MATCH(P$2,'Control Panel'!$D$15:$H$15,0)),0)*'Control Panel'!$C21</f>
        <v>0</v>
      </c>
      <c r="Q11" s="155">
        <f>IFERROR(INDEX('Control Panel'!$D21:$H21,MATCH(Q$2,'Control Panel'!$D$15:$H$15,0)),0)*'Control Panel'!$C21</f>
        <v>0</v>
      </c>
      <c r="R11" s="155">
        <f>IFERROR(INDEX('Control Panel'!$D21:$H21,MATCH(R$2,'Control Panel'!$D$15:$H$15,0)),0)*'Control Panel'!$C21</f>
        <v>0</v>
      </c>
      <c r="S11" s="155">
        <f>IFERROR(INDEX('Control Panel'!$D21:$H21,MATCH(S$2,'Control Panel'!$D$15:$H$15,0)),0)*'Control Panel'!$C21</f>
        <v>0</v>
      </c>
      <c r="T11" s="155">
        <f>IFERROR(INDEX('Control Panel'!$D21:$H21,MATCH(T$2,'Control Panel'!$D$15:$H$15,0)),0)*'Control Panel'!$C21</f>
        <v>0</v>
      </c>
      <c r="U11" s="155">
        <f>IFERROR(INDEX('Control Panel'!$D21:$H21,MATCH(U$2,'Control Panel'!$D$15:$H$15,0)),0)*'Control Panel'!$C21</f>
        <v>0</v>
      </c>
      <c r="V11" s="155">
        <f>IFERROR(INDEX('Control Panel'!$D21:$H21,MATCH(V$2,'Control Panel'!$D$15:$H$15,0)),0)*'Control Panel'!$C21</f>
        <v>0</v>
      </c>
      <c r="W11" s="155">
        <f>IFERROR(INDEX('Control Panel'!$D21:$H21,MATCH(W$2,'Control Panel'!$D$15:$H$15,0)),0)*'Control Panel'!$C21</f>
        <v>0</v>
      </c>
      <c r="X11" s="155">
        <f>IFERROR(INDEX('Control Panel'!$D21:$H21,MATCH(X$2,'Control Panel'!$D$15:$H$15,0)),0)*'Control Panel'!$C21</f>
        <v>0</v>
      </c>
    </row>
    <row r="12" spans="1:24" ht="18" customHeight="1" outlineLevel="1">
      <c r="A12" s="37"/>
      <c r="B12" s="111" t="str">
        <f>'Control Panel'!$B$23</f>
        <v>Ongoing annual capital investment (after facility initiates operation)</v>
      </c>
      <c r="C12" s="111"/>
      <c r="D12" s="112"/>
      <c r="E12" s="141">
        <f>IF(E2&gt;='Control Panel'!$C$25,'Control Panel'!$C$11*'Control Panel'!$C$24,0)</f>
        <v>0</v>
      </c>
      <c r="F12" s="141">
        <f>IF(F2&gt;='Control Panel'!$C$25,'Control Panel'!$C$11*'Control Panel'!$C$24,0)</f>
        <v>0</v>
      </c>
      <c r="G12" s="141">
        <f>IF(G2&gt;='Control Panel'!$C$25,'Control Panel'!$C$11*'Control Panel'!$C$24,0)</f>
        <v>0</v>
      </c>
      <c r="H12" s="141">
        <f>IF(H2&gt;='Control Panel'!$C$25,'Control Panel'!$C$11*'Control Panel'!$C$24,0)</f>
        <v>320000000</v>
      </c>
      <c r="I12" s="141">
        <f>IF(I2&gt;='Control Panel'!$C$25,'Control Panel'!$C$11*'Control Panel'!$C$24,0)</f>
        <v>320000000</v>
      </c>
      <c r="J12" s="141">
        <f>IF(J2&gt;='Control Panel'!$C$25,'Control Panel'!$C$11*'Control Panel'!$C$24,0)</f>
        <v>320000000</v>
      </c>
      <c r="K12" s="141">
        <f>IF(K2&gt;='Control Panel'!$C$25,'Control Panel'!$C$11*'Control Panel'!$C$24,0)</f>
        <v>320000000</v>
      </c>
      <c r="L12" s="141">
        <f>IF(L2&gt;='Control Panel'!$C$25,'Control Panel'!$C$11*'Control Panel'!$C$24,0)</f>
        <v>320000000</v>
      </c>
      <c r="M12" s="141">
        <f>IF(M2&gt;='Control Panel'!$C$25,'Control Panel'!$C$11*'Control Panel'!$C$24,0)</f>
        <v>320000000</v>
      </c>
      <c r="N12" s="141">
        <f>IF(N2&gt;='Control Panel'!$C$25,'Control Panel'!$C$11*'Control Panel'!$C$24,0)</f>
        <v>320000000</v>
      </c>
      <c r="O12" s="141">
        <f>IF(O2&gt;='Control Panel'!$C$25,'Control Panel'!$C$11*'Control Panel'!$C$24,0)</f>
        <v>320000000</v>
      </c>
      <c r="P12" s="141">
        <f>IF(P2&gt;='Control Panel'!$C$25,'Control Panel'!$C$11*'Control Panel'!$C$24,0)</f>
        <v>320000000</v>
      </c>
      <c r="Q12" s="141">
        <f>IF(Q2&gt;='Control Panel'!$C$25,'Control Panel'!$C$11*'Control Panel'!$C$24,0)</f>
        <v>320000000</v>
      </c>
      <c r="R12" s="141">
        <f>IF(R2&gt;='Control Panel'!$C$25,'Control Panel'!$C$11*'Control Panel'!$C$24,0)</f>
        <v>320000000</v>
      </c>
      <c r="S12" s="141">
        <f>IF(S2&gt;='Control Panel'!$C$25,'Control Panel'!$C$11*'Control Panel'!$C$24,0)</f>
        <v>320000000</v>
      </c>
      <c r="T12" s="141">
        <f>IF(T2&gt;='Control Panel'!$C$25,'Control Panel'!$C$11*'Control Panel'!$C$24,0)</f>
        <v>320000000</v>
      </c>
      <c r="U12" s="141">
        <f>IF(U2&gt;='Control Panel'!$C$25,'Control Panel'!$C$11*'Control Panel'!$C$24,0)</f>
        <v>320000000</v>
      </c>
      <c r="V12" s="141">
        <f>IF(V2&gt;='Control Panel'!$C$25,'Control Panel'!$C$11*'Control Panel'!$C$24,0)</f>
        <v>320000000</v>
      </c>
      <c r="W12" s="141">
        <f>IF(W2&gt;='Control Panel'!$C$25,'Control Panel'!$C$11*'Control Panel'!$C$24,0)</f>
        <v>320000000</v>
      </c>
      <c r="X12" s="141">
        <f>IF(X2&gt;='Control Panel'!$C$25,'Control Panel'!$C$11*'Control Panel'!$C$24,0)</f>
        <v>320000000</v>
      </c>
    </row>
    <row r="13" spans="1:24" ht="18" customHeight="1" outlineLevel="1">
      <c r="A13" s="37"/>
      <c r="B13" s="316" t="s">
        <v>109</v>
      </c>
      <c r="C13" s="316"/>
      <c r="D13" s="10"/>
      <c r="E13" s="137">
        <f t="shared" ref="E13:X13" si="2">SUM(E6:E12)</f>
        <v>850000000</v>
      </c>
      <c r="F13" s="137">
        <f t="shared" si="2"/>
        <v>3750000000</v>
      </c>
      <c r="G13" s="137">
        <f t="shared" si="2"/>
        <v>3400000000</v>
      </c>
      <c r="H13" s="137">
        <f t="shared" si="2"/>
        <v>320000000</v>
      </c>
      <c r="I13" s="137">
        <f t="shared" si="2"/>
        <v>320000000</v>
      </c>
      <c r="J13" s="137">
        <f t="shared" si="2"/>
        <v>320000000</v>
      </c>
      <c r="K13" s="137">
        <f t="shared" si="2"/>
        <v>320000000</v>
      </c>
      <c r="L13" s="137">
        <f t="shared" si="2"/>
        <v>320000000</v>
      </c>
      <c r="M13" s="137">
        <f t="shared" si="2"/>
        <v>320000000</v>
      </c>
      <c r="N13" s="137">
        <f t="shared" si="2"/>
        <v>320000000</v>
      </c>
      <c r="O13" s="137">
        <f t="shared" si="2"/>
        <v>320000000</v>
      </c>
      <c r="P13" s="137">
        <f t="shared" si="2"/>
        <v>320000000</v>
      </c>
      <c r="Q13" s="137">
        <f t="shared" si="2"/>
        <v>320000000</v>
      </c>
      <c r="R13" s="137">
        <f t="shared" si="2"/>
        <v>320000000</v>
      </c>
      <c r="S13" s="137">
        <f t="shared" si="2"/>
        <v>320000000</v>
      </c>
      <c r="T13" s="137">
        <f t="shared" si="2"/>
        <v>320000000</v>
      </c>
      <c r="U13" s="137">
        <f t="shared" si="2"/>
        <v>320000000</v>
      </c>
      <c r="V13" s="137">
        <f t="shared" si="2"/>
        <v>320000000</v>
      </c>
      <c r="W13" s="137">
        <f t="shared" si="2"/>
        <v>320000000</v>
      </c>
      <c r="X13" s="137">
        <f t="shared" si="2"/>
        <v>320000000</v>
      </c>
    </row>
    <row r="14" spans="1:24" ht="18" customHeight="1">
      <c r="A14" s="37"/>
      <c r="B14" s="38"/>
      <c r="C14" s="71"/>
      <c r="D14" s="10"/>
      <c r="E14" s="138"/>
      <c r="F14" s="138"/>
      <c r="G14" s="138"/>
      <c r="H14" s="269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</row>
    <row r="15" spans="1:24" s="15" customFormat="1" ht="18" customHeight="1">
      <c r="A15" s="115"/>
      <c r="B15" s="116" t="s">
        <v>110</v>
      </c>
      <c r="C15" s="117"/>
      <c r="D15" s="118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</row>
    <row r="16" spans="1:24" ht="18" customHeight="1" outlineLevel="1">
      <c r="A16" s="37"/>
      <c r="B16" s="71"/>
      <c r="C16" s="71"/>
      <c r="D16" s="10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</row>
    <row r="17" spans="1:24" ht="18" customHeight="1" outlineLevel="1">
      <c r="A17" s="37"/>
      <c r="B17" s="110" t="s">
        <v>111</v>
      </c>
      <c r="C17" s="71"/>
      <c r="D17" s="10"/>
      <c r="E17" s="161">
        <f>IF(E2&lt;'Control Panel'!$C$34,0,MIN('Control Panel'!$C$29*12,240000*((E2+1)-'Control Panel'!$C$34)/(('Control Panel'!$D$34+1)-'Control Panel'!$C$34)))</f>
        <v>0</v>
      </c>
      <c r="F17" s="161">
        <f>IF(F2&lt;'Control Panel'!$C$34,0,MIN('Control Panel'!$C$29*12,240000*((F2+1)-'Control Panel'!$C$34)/(('Control Panel'!$D$34+1)-'Control Panel'!$C$34)))</f>
        <v>80000</v>
      </c>
      <c r="G17" s="161">
        <f>IF(G2&lt;'Control Panel'!$C$34,0,MIN('Control Panel'!$C$29*12,240000*((G2+1)-'Control Panel'!$C$34)/(('Control Panel'!$D$34+1)-'Control Panel'!$C$34)))</f>
        <v>160000</v>
      </c>
      <c r="H17" s="161">
        <f>IF(H2&lt;'Control Panel'!$C$34,0,MIN('Control Panel'!$C$29*12,240000*((H2+1)-'Control Panel'!$C$34)/(('Control Panel'!$D$34+1)-'Control Panel'!$C$34)))</f>
        <v>240000</v>
      </c>
      <c r="I17" s="161">
        <f>IF(I2&lt;'Control Panel'!$C$34,0,MIN('Control Panel'!$C$29*12,240000*((I2+1)-'Control Panel'!$C$34)/(('Control Panel'!$D$34+1)-'Control Panel'!$C$34)))</f>
        <v>240000</v>
      </c>
      <c r="J17" s="161">
        <f>IF(J2&lt;'Control Panel'!$C$34,0,MIN('Control Panel'!$C$29*12,240000*((J2+1)-'Control Panel'!$C$34)/(('Control Panel'!$D$34+1)-'Control Panel'!$C$34)))</f>
        <v>240000</v>
      </c>
      <c r="K17" s="161">
        <f>IF(K2&lt;'Control Panel'!$C$34,0,MIN('Control Panel'!$C$29*12,240000*((K2+1)-'Control Panel'!$C$34)/(('Control Panel'!$D$34+1)-'Control Panel'!$C$34)))</f>
        <v>240000</v>
      </c>
      <c r="L17" s="161">
        <f>IF(L2&lt;'Control Panel'!$C$34,0,MIN('Control Panel'!$C$29*12,240000*((L2+1)-'Control Panel'!$C$34)/(('Control Panel'!$D$34+1)-'Control Panel'!$C$34)))</f>
        <v>240000</v>
      </c>
      <c r="M17" s="161">
        <f>IF(M2&lt;'Control Panel'!$C$34,0,MIN('Control Panel'!$C$29*12,240000*((M2+1)-'Control Panel'!$C$34)/(('Control Panel'!$D$34+1)-'Control Panel'!$C$34)))</f>
        <v>240000</v>
      </c>
      <c r="N17" s="161">
        <f>IF(N2&lt;'Control Panel'!$C$34,0,MIN('Control Panel'!$C$29*12,240000*((N2+1)-'Control Panel'!$C$34)/(('Control Panel'!$D$34+1)-'Control Panel'!$C$34)))</f>
        <v>240000</v>
      </c>
      <c r="O17" s="161">
        <f>IF(O2&lt;'Control Panel'!$C$34,0,MIN('Control Panel'!$C$29*12,240000*((O2+1)-'Control Panel'!$C$34)/(('Control Panel'!$D$34+1)-'Control Panel'!$C$34)))</f>
        <v>240000</v>
      </c>
      <c r="P17" s="161">
        <f>IF(P2&lt;'Control Panel'!$C$34,0,MIN('Control Panel'!$C$29*12,240000*((P2+1)-'Control Panel'!$C$34)/(('Control Panel'!$D$34+1)-'Control Panel'!$C$34)))</f>
        <v>240000</v>
      </c>
      <c r="Q17" s="161">
        <f>IF(Q2&lt;'Control Panel'!$C$34,0,MIN('Control Panel'!$C$29*12,240000*((Q2+1)-'Control Panel'!$C$34)/(('Control Panel'!$D$34+1)-'Control Panel'!$C$34)))</f>
        <v>240000</v>
      </c>
      <c r="R17" s="161">
        <f>IF(R2&lt;'Control Panel'!$C$34,0,MIN('Control Panel'!$C$29*12,240000*((R2+1)-'Control Panel'!$C$34)/(('Control Panel'!$D$34+1)-'Control Panel'!$C$34)))</f>
        <v>240000</v>
      </c>
      <c r="S17" s="161">
        <f>IF(S2&lt;'Control Panel'!$C$34,0,MIN('Control Panel'!$C$29*12,240000*((S2+1)-'Control Panel'!$C$34)/(('Control Panel'!$D$34+1)-'Control Panel'!$C$34)))</f>
        <v>240000</v>
      </c>
      <c r="T17" s="161">
        <f>IF(T2&lt;'Control Panel'!$C$34,0,MIN('Control Panel'!$C$29*12,240000*((T2+1)-'Control Panel'!$C$34)/(('Control Panel'!$D$34+1)-'Control Panel'!$C$34)))</f>
        <v>240000</v>
      </c>
      <c r="U17" s="161">
        <f>IF(U2&lt;'Control Panel'!$C$34,0,MIN('Control Panel'!$C$29*12,240000*((U2+1)-'Control Panel'!$C$34)/(('Control Panel'!$D$34+1)-'Control Panel'!$C$34)))</f>
        <v>240000</v>
      </c>
      <c r="V17" s="161">
        <f>IF(V2&lt;'Control Panel'!$C$34,0,MIN('Control Panel'!$C$29*12,240000*((V2+1)-'Control Panel'!$C$34)/(('Control Panel'!$D$34+1)-'Control Panel'!$C$34)))</f>
        <v>240000</v>
      </c>
      <c r="W17" s="161">
        <f>IF(W2&lt;'Control Panel'!$C$34,0,MIN('Control Panel'!$C$29*12,240000*((W2+1)-'Control Panel'!$C$34)/(('Control Panel'!$D$34+1)-'Control Panel'!$C$34)))</f>
        <v>240000</v>
      </c>
      <c r="X17" s="161">
        <f>IF(X2&lt;'Control Panel'!$C$34,0,MIN('Control Panel'!$C$29*12,240000*((X2+1)-'Control Panel'!$C$34)/(('Control Panel'!$D$34+1)-'Control Panel'!$C$34)))</f>
        <v>240000</v>
      </c>
    </row>
    <row r="18" spans="1:24" ht="18" customHeight="1" outlineLevel="1">
      <c r="A18" s="37"/>
      <c r="B18" s="111" t="s">
        <v>112</v>
      </c>
      <c r="C18" s="113"/>
      <c r="D18" s="113"/>
      <c r="E18" s="162">
        <f>IF('Control Panel'!$C$34&gt;'Assumptions Processing'!E$2,'Control Panel'!$C$30,'Control Panel'!$C$30*(1+'Control Panel'!$C$31)^('Assumptions Processing'!E$2-'Control Panel'!$C$34))</f>
        <v>16000</v>
      </c>
      <c r="F18" s="162">
        <f>IF('Control Panel'!$C$34&gt;'Assumptions Processing'!F$2,'Control Panel'!$C$30,'Control Panel'!$C$30*(1+'Control Panel'!$C$31)^('Assumptions Processing'!F$2-'Control Panel'!$C$34))</f>
        <v>16000</v>
      </c>
      <c r="G18" s="162">
        <f>IF('Control Panel'!$C$34&gt;'Assumptions Processing'!G$2,'Control Panel'!$C$30,'Control Panel'!$C$30*(1+'Control Panel'!$C$31)^('Assumptions Processing'!G$2-'Control Panel'!$C$34))</f>
        <v>15200</v>
      </c>
      <c r="H18" s="162">
        <f>IF('Control Panel'!$C$34&gt;'Assumptions Processing'!H$2,'Control Panel'!$C$30,'Control Panel'!$C$30*(1+'Control Panel'!$C$31)^('Assumptions Processing'!H$2-'Control Panel'!$C$34))</f>
        <v>14440</v>
      </c>
      <c r="I18" s="162">
        <f>IF('Control Panel'!$C$34&gt;'Assumptions Processing'!I$2,'Control Panel'!$C$30,'Control Panel'!$C$30*(1+'Control Panel'!$C$31)^('Assumptions Processing'!I$2-'Control Panel'!$C$34))</f>
        <v>13717.999999999998</v>
      </c>
      <c r="J18" s="162">
        <f>IF('Control Panel'!$C$34&gt;'Assumptions Processing'!J$2,'Control Panel'!$C$30,'Control Panel'!$C$30*(1+'Control Panel'!$C$31)^('Assumptions Processing'!J$2-'Control Panel'!$C$34))</f>
        <v>13032.1</v>
      </c>
      <c r="K18" s="162">
        <f>IF('Control Panel'!$C$34&gt;'Assumptions Processing'!K$2,'Control Panel'!$C$30,'Control Panel'!$C$30*(1+'Control Panel'!$C$31)^('Assumptions Processing'!K$2-'Control Panel'!$C$34))</f>
        <v>12380.494999999999</v>
      </c>
      <c r="L18" s="162">
        <f>IF('Control Panel'!$C$34&gt;'Assumptions Processing'!L$2,'Control Panel'!$C$30,'Control Panel'!$C$30*(1+'Control Panel'!$C$31)^('Assumptions Processing'!L$2-'Control Panel'!$C$34))</f>
        <v>11761.470249999998</v>
      </c>
      <c r="M18" s="162">
        <f>IF('Control Panel'!$C$34&gt;'Assumptions Processing'!M$2,'Control Panel'!$C$30,'Control Panel'!$C$30*(1+'Control Panel'!$C$31)^('Assumptions Processing'!M$2-'Control Panel'!$C$34))</f>
        <v>11173.396737499999</v>
      </c>
      <c r="N18" s="162">
        <f>IF('Control Panel'!$C$34&gt;'Assumptions Processing'!N$2,'Control Panel'!$C$30,'Control Panel'!$C$30*(1+'Control Panel'!$C$31)^('Assumptions Processing'!N$2-'Control Panel'!$C$34))</f>
        <v>10614.726900624999</v>
      </c>
      <c r="O18" s="162">
        <f>IF('Control Panel'!$C$34&gt;'Assumptions Processing'!O$2,'Control Panel'!$C$30,'Control Panel'!$C$30*(1+'Control Panel'!$C$31)^('Assumptions Processing'!O$2-'Control Panel'!$C$34))</f>
        <v>10083.990555593749</v>
      </c>
      <c r="P18" s="162">
        <f>IF('Control Panel'!$C$34&gt;'Assumptions Processing'!P$2,'Control Panel'!$C$30,'Control Panel'!$C$30*(1+'Control Panel'!$C$31)^('Assumptions Processing'!P$2-'Control Panel'!$C$34))</f>
        <v>9579.7910278140625</v>
      </c>
      <c r="Q18" s="162">
        <f>IF('Control Panel'!$C$34&gt;'Assumptions Processing'!Q$2,'Control Panel'!$C$30,'Control Panel'!$C$30*(1+'Control Panel'!$C$31)^('Assumptions Processing'!Q$2-'Control Panel'!$C$34))</f>
        <v>9100.8014764233576</v>
      </c>
      <c r="R18" s="162">
        <f>IF('Control Panel'!$C$34&gt;'Assumptions Processing'!R$2,'Control Panel'!$C$30,'Control Panel'!$C$30*(1+'Control Panel'!$C$31)^('Assumptions Processing'!R$2-'Control Panel'!$C$34))</f>
        <v>8645.7614026021893</v>
      </c>
      <c r="S18" s="162">
        <f>IF('Control Panel'!$C$34&gt;'Assumptions Processing'!S$2,'Control Panel'!$C$30,'Control Panel'!$C$30*(1+'Control Panel'!$C$31)^('Assumptions Processing'!S$2-'Control Panel'!$C$34))</f>
        <v>8213.4733324720801</v>
      </c>
      <c r="T18" s="162">
        <f>IF('Control Panel'!$C$34&gt;'Assumptions Processing'!T$2,'Control Panel'!$C$30,'Control Panel'!$C$30*(1+'Control Panel'!$C$31)^('Assumptions Processing'!T$2-'Control Panel'!$C$34))</f>
        <v>7802.7996658484763</v>
      </c>
      <c r="U18" s="162">
        <f>IF('Control Panel'!$C$34&gt;'Assumptions Processing'!U$2,'Control Panel'!$C$30,'Control Panel'!$C$30*(1+'Control Panel'!$C$31)^('Assumptions Processing'!U$2-'Control Panel'!$C$34))</f>
        <v>7412.6596825560528</v>
      </c>
      <c r="V18" s="162">
        <f>IF('Control Panel'!$C$34&gt;'Assumptions Processing'!V$2,'Control Panel'!$C$30,'Control Panel'!$C$30*(1+'Control Panel'!$C$31)^('Assumptions Processing'!V$2-'Control Panel'!$C$34))</f>
        <v>7042.0266984282498</v>
      </c>
      <c r="W18" s="162">
        <f>IF('Control Panel'!$C$34&gt;'Assumptions Processing'!W$2,'Control Panel'!$C$30,'Control Panel'!$C$30*(1+'Control Panel'!$C$31)^('Assumptions Processing'!W$2-'Control Panel'!$C$34))</f>
        <v>6689.925363506838</v>
      </c>
      <c r="X18" s="162">
        <f>IF('Control Panel'!$C$34&gt;'Assumptions Processing'!X$2,'Control Panel'!$C$30,'Control Panel'!$C$30*(1+'Control Panel'!$C$31)^('Assumptions Processing'!X$2-'Control Panel'!$C$34))</f>
        <v>6355.4290953314958</v>
      </c>
    </row>
    <row r="19" spans="1:24" ht="18" customHeight="1" outlineLevel="1">
      <c r="A19" s="37"/>
      <c r="B19" s="108" t="s">
        <v>113</v>
      </c>
      <c r="C19" s="108"/>
      <c r="D19" s="73"/>
      <c r="E19" s="137">
        <f>(E17*E18)</f>
        <v>0</v>
      </c>
      <c r="F19" s="137">
        <f t="shared" ref="F19:X19" si="3">(F17*F18)</f>
        <v>1280000000</v>
      </c>
      <c r="G19" s="137">
        <f t="shared" si="3"/>
        <v>2432000000</v>
      </c>
      <c r="H19" s="137">
        <f t="shared" si="3"/>
        <v>3465600000</v>
      </c>
      <c r="I19" s="137">
        <f t="shared" si="3"/>
        <v>3292319999.9999995</v>
      </c>
      <c r="J19" s="137">
        <f t="shared" si="3"/>
        <v>3127704000</v>
      </c>
      <c r="K19" s="137">
        <f t="shared" si="3"/>
        <v>2971318799.9999995</v>
      </c>
      <c r="L19" s="137">
        <f t="shared" si="3"/>
        <v>2822752859.9999995</v>
      </c>
      <c r="M19" s="137">
        <f t="shared" si="3"/>
        <v>2681615217</v>
      </c>
      <c r="N19" s="137">
        <f t="shared" si="3"/>
        <v>2547534456.1499996</v>
      </c>
      <c r="O19" s="137">
        <f t="shared" si="3"/>
        <v>2420157733.3424997</v>
      </c>
      <c r="P19" s="137">
        <f t="shared" si="3"/>
        <v>2299149846.675375</v>
      </c>
      <c r="Q19" s="137">
        <f t="shared" si="3"/>
        <v>2184192354.3416057</v>
      </c>
      <c r="R19" s="137">
        <f t="shared" si="3"/>
        <v>2074982736.6245253</v>
      </c>
      <c r="S19" s="137">
        <f t="shared" si="3"/>
        <v>1971233599.7932992</v>
      </c>
      <c r="T19" s="137">
        <f t="shared" si="3"/>
        <v>1872671919.8036344</v>
      </c>
      <c r="U19" s="137">
        <f t="shared" si="3"/>
        <v>1779038323.8134527</v>
      </c>
      <c r="V19" s="137">
        <f t="shared" si="3"/>
        <v>1690086407.6227798</v>
      </c>
      <c r="W19" s="137">
        <f t="shared" si="3"/>
        <v>1605582087.241641</v>
      </c>
      <c r="X19" s="137">
        <f t="shared" si="3"/>
        <v>1525302982.879559</v>
      </c>
    </row>
    <row r="20" spans="1:24" ht="18" customHeight="1">
      <c r="A20" s="37"/>
      <c r="B20" s="108"/>
      <c r="C20" s="108"/>
      <c r="D20" s="73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</row>
    <row r="21" spans="1:24" s="15" customFormat="1" ht="18" customHeight="1">
      <c r="A21" s="115"/>
      <c r="B21" s="116" t="s">
        <v>114</v>
      </c>
      <c r="C21" s="117"/>
      <c r="D21" s="118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</row>
    <row r="22" spans="1:24" ht="18" customHeight="1" outlineLevel="1">
      <c r="A22" s="37"/>
      <c r="B22" s="4"/>
      <c r="C22" s="71"/>
      <c r="D22" s="10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</row>
    <row r="23" spans="1:24" ht="18" customHeight="1" outlineLevel="1">
      <c r="A23" s="37"/>
      <c r="B23" s="110" t="str">
        <f>'Control Panel'!B39</f>
        <v>Materials / Consumables / Chemicals</v>
      </c>
      <c r="C23" s="36"/>
      <c r="D23" s="11"/>
      <c r="E23" s="163">
        <f>IF(AND(E$2&gt;='Control Panel'!$C$34,E$2&lt;='Control Panel'!$D$34),'Control Panel'!$C39*(E$2+1-'Control Panel'!$C$34)/'Control Panel'!$E$34,IF('Assumptions Processing'!E$2&lt;'Control Panel'!$C$34,0,'Control Panel'!$C39*(1+'Control Panel'!$D39)^(E$2-'Control Panel'!$D$34)))</f>
        <v>0</v>
      </c>
      <c r="F23" s="163">
        <f>IF(AND(F$2&gt;='Control Panel'!$C$34,F$2&lt;='Control Panel'!$D$34),'Control Panel'!$C39*(F$2+1-'Control Panel'!$C$34)/'Control Panel'!$E$34,IF('Assumptions Processing'!F$2&lt;'Control Panel'!$C$34,0,'Control Panel'!$C39*(1+'Control Panel'!$D39)^(F$2-'Control Panel'!$D$34)))</f>
        <v>166666666.66666666</v>
      </c>
      <c r="G23" s="163">
        <f>IF(AND(G$2&gt;='Control Panel'!$C$34,G$2&lt;='Control Panel'!$D$34),'Control Panel'!$C39*(G$2+1-'Control Panel'!$C$34)/'Control Panel'!$E$34,IF('Assumptions Processing'!G$2&lt;'Control Panel'!$C$34,0,'Control Panel'!$C39*(1+'Control Panel'!$D39)^(G$2-'Control Panel'!$D$34)))</f>
        <v>333333333.33333331</v>
      </c>
      <c r="H23" s="163">
        <f>IF(AND(H$2&gt;='Control Panel'!$C$34,H$2&lt;='Control Panel'!$D$34),'Control Panel'!$C39*(H$2+1-'Control Panel'!$C$34)/'Control Panel'!$E$34,IF('Assumptions Processing'!H$2&lt;'Control Panel'!$C$34,0,'Control Panel'!$C39*(1+'Control Panel'!$D39)^(H$2-'Control Panel'!$D$34)))</f>
        <v>500000000</v>
      </c>
      <c r="I23" s="163">
        <f>IF(AND(I$2&gt;='Control Panel'!$C$34,I$2&lt;='Control Panel'!$D$34),'Control Panel'!$C39*(I$2+1-'Control Panel'!$C$34)/'Control Panel'!$E$34,IF('Assumptions Processing'!I$2&lt;'Control Panel'!$C$34,0,'Control Panel'!$C39*(1+'Control Panel'!$D39)^(I$2-'Control Panel'!$D$34)))</f>
        <v>485000000</v>
      </c>
      <c r="J23" s="163">
        <f>IF(AND(J$2&gt;='Control Panel'!$C$34,J$2&lt;='Control Panel'!$D$34),'Control Panel'!$C39*(J$2+1-'Control Panel'!$C$34)/'Control Panel'!$E$34,IF('Assumptions Processing'!J$2&lt;'Control Panel'!$C$34,0,'Control Panel'!$C39*(1+'Control Panel'!$D39)^(J$2-'Control Panel'!$D$34)))</f>
        <v>470450000</v>
      </c>
      <c r="K23" s="163">
        <f>IF(AND(K$2&gt;='Control Panel'!$C$34,K$2&lt;='Control Panel'!$D$34),'Control Panel'!$C39*(K$2+1-'Control Panel'!$C$34)/'Control Panel'!$E$34,IF('Assumptions Processing'!K$2&lt;'Control Panel'!$C$34,0,'Control Panel'!$C39*(1+'Control Panel'!$D39)^(K$2-'Control Panel'!$D$34)))</f>
        <v>456336500</v>
      </c>
      <c r="L23" s="163">
        <f>IF(AND(L$2&gt;='Control Panel'!$C$34,L$2&lt;='Control Panel'!$D$34),'Control Panel'!$C39*(L$2+1-'Control Panel'!$C$34)/'Control Panel'!$E$34,IF('Assumptions Processing'!L$2&lt;'Control Panel'!$C$34,0,'Control Panel'!$C39*(1+'Control Panel'!$D39)^(L$2-'Control Panel'!$D$34)))</f>
        <v>442646404.99999994</v>
      </c>
      <c r="M23" s="163">
        <f>IF(AND(M$2&gt;='Control Panel'!$C$34,M$2&lt;='Control Panel'!$D$34),'Control Panel'!$C39*(M$2+1-'Control Panel'!$C$34)/'Control Panel'!$E$34,IF('Assumptions Processing'!M$2&lt;'Control Panel'!$C$34,0,'Control Panel'!$C39*(1+'Control Panel'!$D39)^(M$2-'Control Panel'!$D$34)))</f>
        <v>429367012.84999996</v>
      </c>
      <c r="N23" s="163">
        <f>IF(AND(N$2&gt;='Control Panel'!$C$34,N$2&lt;='Control Panel'!$D$34),'Control Panel'!$C39*(N$2+1-'Control Panel'!$C$34)/'Control Panel'!$E$34,IF('Assumptions Processing'!N$2&lt;'Control Panel'!$C$34,0,'Control Panel'!$C39*(1+'Control Panel'!$D39)^(N$2-'Control Panel'!$D$34)))</f>
        <v>416486002.46449995</v>
      </c>
      <c r="O23" s="163">
        <f>IF(AND(O$2&gt;='Control Panel'!$C$34,O$2&lt;='Control Panel'!$D$34),'Control Panel'!$C39*(O$2+1-'Control Panel'!$C$34)/'Control Panel'!$E$34,IF('Assumptions Processing'!O$2&lt;'Control Panel'!$C$34,0,'Control Panel'!$C39*(1+'Control Panel'!$D39)^(O$2-'Control Panel'!$D$34)))</f>
        <v>403991422.39056498</v>
      </c>
      <c r="P23" s="163">
        <f>IF(AND(P$2&gt;='Control Panel'!$C$34,P$2&lt;='Control Panel'!$D$34),'Control Panel'!$C39*(P$2+1-'Control Panel'!$C$34)/'Control Panel'!$E$34,IF('Assumptions Processing'!P$2&lt;'Control Panel'!$C$34,0,'Control Panel'!$C39*(1+'Control Panel'!$D39)^(P$2-'Control Panel'!$D$34)))</f>
        <v>391871679.71884799</v>
      </c>
      <c r="Q23" s="163">
        <f>IF(AND(Q$2&gt;='Control Panel'!$C$34,Q$2&lt;='Control Panel'!$D$34),'Control Panel'!$C39*(Q$2+1-'Control Panel'!$C$34)/'Control Panel'!$E$34,IF('Assumptions Processing'!Q$2&lt;'Control Panel'!$C$34,0,'Control Panel'!$C39*(1+'Control Panel'!$D39)^(Q$2-'Control Panel'!$D$34)))</f>
        <v>380115529.32728255</v>
      </c>
      <c r="R23" s="163">
        <f>IF(AND(R$2&gt;='Control Panel'!$C$34,R$2&lt;='Control Panel'!$D$34),'Control Panel'!$C39*(R$2+1-'Control Panel'!$C$34)/'Control Panel'!$E$34,IF('Assumptions Processing'!R$2&lt;'Control Panel'!$C$34,0,'Control Panel'!$C39*(1+'Control Panel'!$D39)^(R$2-'Control Panel'!$D$34)))</f>
        <v>368712063.44746411</v>
      </c>
      <c r="S23" s="163">
        <f>IF(AND(S$2&gt;='Control Panel'!$C$34,S$2&lt;='Control Panel'!$D$34),'Control Panel'!$C39*(S$2+1-'Control Panel'!$C$34)/'Control Panel'!$E$34,IF('Assumptions Processing'!S$2&lt;'Control Panel'!$C$34,0,'Control Panel'!$C39*(1+'Control Panel'!$D39)^(S$2-'Control Panel'!$D$34)))</f>
        <v>357650701.54404014</v>
      </c>
      <c r="T23" s="163">
        <f>IF(AND(T$2&gt;='Control Panel'!$C$34,T$2&lt;='Control Panel'!$D$34),'Control Panel'!$C39*(T$2+1-'Control Panel'!$C$34)/'Control Panel'!$E$34,IF('Assumptions Processing'!T$2&lt;'Control Panel'!$C$34,0,'Control Panel'!$C39*(1+'Control Panel'!$D39)^(T$2-'Control Panel'!$D$34)))</f>
        <v>346921180.49771893</v>
      </c>
      <c r="U23" s="163">
        <f>IF(AND(U$2&gt;='Control Panel'!$C$34,U$2&lt;='Control Panel'!$D$34),'Control Panel'!$C39*(U$2+1-'Control Panel'!$C$34)/'Control Panel'!$E$34,IF('Assumptions Processing'!U$2&lt;'Control Panel'!$C$34,0,'Control Panel'!$C39*(1+'Control Panel'!$D39)^(U$2-'Control Panel'!$D$34)))</f>
        <v>336513545.08278733</v>
      </c>
      <c r="V23" s="163">
        <f>IF(AND(V$2&gt;='Control Panel'!$C$34,V$2&lt;='Control Panel'!$D$34),'Control Panel'!$C39*(V$2+1-'Control Panel'!$C$34)/'Control Panel'!$E$34,IF('Assumptions Processing'!V$2&lt;'Control Panel'!$C$34,0,'Control Panel'!$C39*(1+'Control Panel'!$D39)^(V$2-'Control Panel'!$D$34)))</f>
        <v>326418138.7303037</v>
      </c>
      <c r="W23" s="163">
        <f>IF(AND(W$2&gt;='Control Panel'!$C$34,W$2&lt;='Control Panel'!$D$34),'Control Panel'!$C39*(W$2+1-'Control Panel'!$C$34)/'Control Panel'!$E$34,IF('Assumptions Processing'!W$2&lt;'Control Panel'!$C$34,0,'Control Panel'!$C39*(1+'Control Panel'!$D39)^(W$2-'Control Panel'!$D$34)))</f>
        <v>316625594.5683946</v>
      </c>
      <c r="X23" s="163">
        <f>IF(AND(X$2&gt;='Control Panel'!$C$34,X$2&lt;='Control Panel'!$D$34),'Control Panel'!$C39*(X$2+1-'Control Panel'!$C$34)/'Control Panel'!$E$34,IF('Assumptions Processing'!X$2&lt;'Control Panel'!$C$34,0,'Control Panel'!$C39*(1+'Control Panel'!$D39)^(X$2-'Control Panel'!$D$34)))</f>
        <v>307126826.73134279</v>
      </c>
    </row>
    <row r="24" spans="1:24" ht="18" customHeight="1" outlineLevel="1">
      <c r="A24" s="37"/>
      <c r="B24" s="110" t="str">
        <f>'Control Panel'!B40</f>
        <v>Labor</v>
      </c>
      <c r="C24" s="36"/>
      <c r="D24" s="11"/>
      <c r="E24" s="163">
        <f>IF(AND(E$2&gt;='Control Panel'!$C$34,E$2&lt;='Control Panel'!$D$34),'Control Panel'!$C40*(E$2+1-'Control Panel'!$C$34)/'Control Panel'!$E$34,IF('Assumptions Processing'!E$2&lt;'Control Panel'!$C$34,0,'Control Panel'!$C40*(1+'Control Panel'!$D40)^(E$2-'Control Panel'!$D$34)))</f>
        <v>0</v>
      </c>
      <c r="F24" s="163">
        <f>IF(AND(F$2&gt;='Control Panel'!$C$34,F$2&lt;='Control Panel'!$D$34),'Control Panel'!$C40*(F$2+1-'Control Panel'!$C$34)/'Control Panel'!$E$34,IF('Assumptions Processing'!F$2&lt;'Control Panel'!$C$34,0,'Control Panel'!$C40*(1+'Control Panel'!$D40)^(F$2-'Control Panel'!$D$34)))</f>
        <v>133333333.33333333</v>
      </c>
      <c r="G24" s="163">
        <f>IF(AND(G$2&gt;='Control Panel'!$C$34,G$2&lt;='Control Panel'!$D$34),'Control Panel'!$C40*(G$2+1-'Control Panel'!$C$34)/'Control Panel'!$E$34,IF('Assumptions Processing'!G$2&lt;'Control Panel'!$C$34,0,'Control Panel'!$C40*(1+'Control Panel'!$D40)^(G$2-'Control Panel'!$D$34)))</f>
        <v>266666666.66666666</v>
      </c>
      <c r="H24" s="163">
        <f>IF(AND(H$2&gt;='Control Panel'!$C$34,H$2&lt;='Control Panel'!$D$34),'Control Panel'!$C40*(H$2+1-'Control Panel'!$C$34)/'Control Panel'!$E$34,IF('Assumptions Processing'!H$2&lt;'Control Panel'!$C$34,0,'Control Panel'!$C40*(1+'Control Panel'!$D40)^(H$2-'Control Panel'!$D$34)))</f>
        <v>400000000</v>
      </c>
      <c r="I24" s="163">
        <f>IF(AND(I$2&gt;='Control Panel'!$C$34,I$2&lt;='Control Panel'!$D$34),'Control Panel'!$C40*(I$2+1-'Control Panel'!$C$34)/'Control Panel'!$E$34,IF('Assumptions Processing'!I$2&lt;'Control Panel'!$C$34,0,'Control Panel'!$C40*(1+'Control Panel'!$D40)^(I$2-'Control Panel'!$D$34)))</f>
        <v>400000000</v>
      </c>
      <c r="J24" s="163">
        <f>IF(AND(J$2&gt;='Control Panel'!$C$34,J$2&lt;='Control Panel'!$D$34),'Control Panel'!$C40*(J$2+1-'Control Panel'!$C$34)/'Control Panel'!$E$34,IF('Assumptions Processing'!J$2&lt;'Control Panel'!$C$34,0,'Control Panel'!$C40*(1+'Control Panel'!$D40)^(J$2-'Control Panel'!$D$34)))</f>
        <v>400000000</v>
      </c>
      <c r="K24" s="163">
        <f>IF(AND(K$2&gt;='Control Panel'!$C$34,K$2&lt;='Control Panel'!$D$34),'Control Panel'!$C40*(K$2+1-'Control Panel'!$C$34)/'Control Panel'!$E$34,IF('Assumptions Processing'!K$2&lt;'Control Panel'!$C$34,0,'Control Panel'!$C40*(1+'Control Panel'!$D40)^(K$2-'Control Panel'!$D$34)))</f>
        <v>400000000</v>
      </c>
      <c r="L24" s="163">
        <f>IF(AND(L$2&gt;='Control Panel'!$C$34,L$2&lt;='Control Panel'!$D$34),'Control Panel'!$C40*(L$2+1-'Control Panel'!$C$34)/'Control Panel'!$E$34,IF('Assumptions Processing'!L$2&lt;'Control Panel'!$C$34,0,'Control Panel'!$C40*(1+'Control Panel'!$D40)^(L$2-'Control Panel'!$D$34)))</f>
        <v>400000000</v>
      </c>
      <c r="M24" s="163">
        <f>IF(AND(M$2&gt;='Control Panel'!$C$34,M$2&lt;='Control Panel'!$D$34),'Control Panel'!$C40*(M$2+1-'Control Panel'!$C$34)/'Control Panel'!$E$34,IF('Assumptions Processing'!M$2&lt;'Control Panel'!$C$34,0,'Control Panel'!$C40*(1+'Control Panel'!$D40)^(M$2-'Control Panel'!$D$34)))</f>
        <v>400000000</v>
      </c>
      <c r="N24" s="163">
        <f>IF(AND(N$2&gt;='Control Panel'!$C$34,N$2&lt;='Control Panel'!$D$34),'Control Panel'!$C40*(N$2+1-'Control Panel'!$C$34)/'Control Panel'!$E$34,IF('Assumptions Processing'!N$2&lt;'Control Panel'!$C$34,0,'Control Panel'!$C40*(1+'Control Panel'!$D40)^(N$2-'Control Panel'!$D$34)))</f>
        <v>400000000</v>
      </c>
      <c r="O24" s="163">
        <f>IF(AND(O$2&gt;='Control Panel'!$C$34,O$2&lt;='Control Panel'!$D$34),'Control Panel'!$C40*(O$2+1-'Control Panel'!$C$34)/'Control Panel'!$E$34,IF('Assumptions Processing'!O$2&lt;'Control Panel'!$C$34,0,'Control Panel'!$C40*(1+'Control Panel'!$D40)^(O$2-'Control Panel'!$D$34)))</f>
        <v>400000000</v>
      </c>
      <c r="P24" s="163">
        <f>IF(AND(P$2&gt;='Control Panel'!$C$34,P$2&lt;='Control Panel'!$D$34),'Control Panel'!$C40*(P$2+1-'Control Panel'!$C$34)/'Control Panel'!$E$34,IF('Assumptions Processing'!P$2&lt;'Control Panel'!$C$34,0,'Control Panel'!$C40*(1+'Control Panel'!$D40)^(P$2-'Control Panel'!$D$34)))</f>
        <v>400000000</v>
      </c>
      <c r="Q24" s="163">
        <f>IF(AND(Q$2&gt;='Control Panel'!$C$34,Q$2&lt;='Control Panel'!$D$34),'Control Panel'!$C40*(Q$2+1-'Control Panel'!$C$34)/'Control Panel'!$E$34,IF('Assumptions Processing'!Q$2&lt;'Control Panel'!$C$34,0,'Control Panel'!$C40*(1+'Control Panel'!$D40)^(Q$2-'Control Panel'!$D$34)))</f>
        <v>400000000</v>
      </c>
      <c r="R24" s="163">
        <f>IF(AND(R$2&gt;='Control Panel'!$C$34,R$2&lt;='Control Panel'!$D$34),'Control Panel'!$C40*(R$2+1-'Control Panel'!$C$34)/'Control Panel'!$E$34,IF('Assumptions Processing'!R$2&lt;'Control Panel'!$C$34,0,'Control Panel'!$C40*(1+'Control Panel'!$D40)^(R$2-'Control Panel'!$D$34)))</f>
        <v>400000000</v>
      </c>
      <c r="S24" s="163">
        <f>IF(AND(S$2&gt;='Control Panel'!$C$34,S$2&lt;='Control Panel'!$D$34),'Control Panel'!$C40*(S$2+1-'Control Panel'!$C$34)/'Control Panel'!$E$34,IF('Assumptions Processing'!S$2&lt;'Control Panel'!$C$34,0,'Control Panel'!$C40*(1+'Control Panel'!$D40)^(S$2-'Control Panel'!$D$34)))</f>
        <v>400000000</v>
      </c>
      <c r="T24" s="163">
        <f>IF(AND(T$2&gt;='Control Panel'!$C$34,T$2&lt;='Control Panel'!$D$34),'Control Panel'!$C40*(T$2+1-'Control Panel'!$C$34)/'Control Panel'!$E$34,IF('Assumptions Processing'!T$2&lt;'Control Panel'!$C$34,0,'Control Panel'!$C40*(1+'Control Panel'!$D40)^(T$2-'Control Panel'!$D$34)))</f>
        <v>400000000</v>
      </c>
      <c r="U24" s="163">
        <f>IF(AND(U$2&gt;='Control Panel'!$C$34,U$2&lt;='Control Panel'!$D$34),'Control Panel'!$C40*(U$2+1-'Control Panel'!$C$34)/'Control Panel'!$E$34,IF('Assumptions Processing'!U$2&lt;'Control Panel'!$C$34,0,'Control Panel'!$C40*(1+'Control Panel'!$D40)^(U$2-'Control Panel'!$D$34)))</f>
        <v>400000000</v>
      </c>
      <c r="V24" s="163">
        <f>IF(AND(V$2&gt;='Control Panel'!$C$34,V$2&lt;='Control Panel'!$D$34),'Control Panel'!$C40*(V$2+1-'Control Panel'!$C$34)/'Control Panel'!$E$34,IF('Assumptions Processing'!V$2&lt;'Control Panel'!$C$34,0,'Control Panel'!$C40*(1+'Control Panel'!$D40)^(V$2-'Control Panel'!$D$34)))</f>
        <v>400000000</v>
      </c>
      <c r="W24" s="163">
        <f>IF(AND(W$2&gt;='Control Panel'!$C$34,W$2&lt;='Control Panel'!$D$34),'Control Panel'!$C40*(W$2+1-'Control Panel'!$C$34)/'Control Panel'!$E$34,IF('Assumptions Processing'!W$2&lt;'Control Panel'!$C$34,0,'Control Panel'!$C40*(1+'Control Panel'!$D40)^(W$2-'Control Panel'!$D$34)))</f>
        <v>400000000</v>
      </c>
      <c r="X24" s="163">
        <f>IF(AND(X$2&gt;='Control Panel'!$C$34,X$2&lt;='Control Panel'!$D$34),'Control Panel'!$C40*(X$2+1-'Control Panel'!$C$34)/'Control Panel'!$E$34,IF('Assumptions Processing'!X$2&lt;'Control Panel'!$C$34,0,'Control Panel'!$C40*(1+'Control Panel'!$D40)^(X$2-'Control Panel'!$D$34)))</f>
        <v>400000000</v>
      </c>
    </row>
    <row r="25" spans="1:24" ht="18" customHeight="1" outlineLevel="1">
      <c r="A25" s="37"/>
      <c r="B25" s="110" t="str">
        <f>'Control Panel'!B41</f>
        <v>Utilities</v>
      </c>
      <c r="C25" s="36"/>
      <c r="D25" s="11"/>
      <c r="E25" s="163">
        <f>IF(AND(E$2&gt;='Control Panel'!$C$34,E$2&lt;='Control Panel'!$D$34),'Control Panel'!$C41*(E$2+1-'Control Panel'!$C$34)/'Control Panel'!$E$34,IF('Assumptions Processing'!E$2&lt;'Control Panel'!$C$34,0,'Control Panel'!$C41*(1+'Control Panel'!$D41)^(E$2-'Control Panel'!$D$34)))</f>
        <v>0</v>
      </c>
      <c r="F25" s="163">
        <f>IF(AND(F$2&gt;='Control Panel'!$C$34,F$2&lt;='Control Panel'!$D$34),'Control Panel'!$C41*(F$2+1-'Control Panel'!$C$34)/'Control Panel'!$E$34,IF('Assumptions Processing'!F$2&lt;'Control Panel'!$C$34,0,'Control Panel'!$C41*(1+'Control Panel'!$D41)^(F$2-'Control Panel'!$D$34)))</f>
        <v>66666666.666666664</v>
      </c>
      <c r="G25" s="163">
        <f>IF(AND(G$2&gt;='Control Panel'!$C$34,G$2&lt;='Control Panel'!$D$34),'Control Panel'!$C41*(G$2+1-'Control Panel'!$C$34)/'Control Panel'!$E$34,IF('Assumptions Processing'!G$2&lt;'Control Panel'!$C$34,0,'Control Panel'!$C41*(1+'Control Panel'!$D41)^(G$2-'Control Panel'!$D$34)))</f>
        <v>133333333.33333333</v>
      </c>
      <c r="H25" s="163">
        <f>IF(AND(H$2&gt;='Control Panel'!$C$34,H$2&lt;='Control Panel'!$D$34),'Control Panel'!$C41*(H$2+1-'Control Panel'!$C$34)/'Control Panel'!$E$34,IF('Assumptions Processing'!H$2&lt;'Control Panel'!$C$34,0,'Control Panel'!$C41*(1+'Control Panel'!$D41)^(H$2-'Control Panel'!$D$34)))</f>
        <v>200000000</v>
      </c>
      <c r="I25" s="163">
        <f>IF(AND(I$2&gt;='Control Panel'!$C$34,I$2&lt;='Control Panel'!$D$34),'Control Panel'!$C41*(I$2+1-'Control Panel'!$C$34)/'Control Panel'!$E$34,IF('Assumptions Processing'!I$2&lt;'Control Panel'!$C$34,0,'Control Panel'!$C41*(1+'Control Panel'!$D41)^(I$2-'Control Panel'!$D$34)))</f>
        <v>196000000</v>
      </c>
      <c r="J25" s="163">
        <f>IF(AND(J$2&gt;='Control Panel'!$C$34,J$2&lt;='Control Panel'!$D$34),'Control Panel'!$C41*(J$2+1-'Control Panel'!$C$34)/'Control Panel'!$E$34,IF('Assumptions Processing'!J$2&lt;'Control Panel'!$C$34,0,'Control Panel'!$C41*(1+'Control Panel'!$D41)^(J$2-'Control Panel'!$D$34)))</f>
        <v>192079999.99999997</v>
      </c>
      <c r="K25" s="163">
        <f>IF(AND(K$2&gt;='Control Panel'!$C$34,K$2&lt;='Control Panel'!$D$34),'Control Panel'!$C41*(K$2+1-'Control Panel'!$C$34)/'Control Panel'!$E$34,IF('Assumptions Processing'!K$2&lt;'Control Panel'!$C$34,0,'Control Panel'!$C41*(1+'Control Panel'!$D41)^(K$2-'Control Panel'!$D$34)))</f>
        <v>188238399.99999997</v>
      </c>
      <c r="L25" s="163">
        <f>IF(AND(L$2&gt;='Control Panel'!$C$34,L$2&lt;='Control Panel'!$D$34),'Control Panel'!$C41*(L$2+1-'Control Panel'!$C$34)/'Control Panel'!$E$34,IF('Assumptions Processing'!L$2&lt;'Control Panel'!$C$34,0,'Control Panel'!$C41*(1+'Control Panel'!$D41)^(L$2-'Control Panel'!$D$34)))</f>
        <v>184473631.99999997</v>
      </c>
      <c r="M25" s="163">
        <f>IF(AND(M$2&gt;='Control Panel'!$C$34,M$2&lt;='Control Panel'!$D$34),'Control Panel'!$C41*(M$2+1-'Control Panel'!$C$34)/'Control Panel'!$E$34,IF('Assumptions Processing'!M$2&lt;'Control Panel'!$C$34,0,'Control Panel'!$C41*(1+'Control Panel'!$D41)^(M$2-'Control Panel'!$D$34)))</f>
        <v>180784159.35999995</v>
      </c>
      <c r="N25" s="163">
        <f>IF(AND(N$2&gt;='Control Panel'!$C$34,N$2&lt;='Control Panel'!$D$34),'Control Panel'!$C41*(N$2+1-'Control Panel'!$C$34)/'Control Panel'!$E$34,IF('Assumptions Processing'!N$2&lt;'Control Panel'!$C$34,0,'Control Panel'!$C41*(1+'Control Panel'!$D41)^(N$2-'Control Panel'!$D$34)))</f>
        <v>177168476.17279997</v>
      </c>
      <c r="O25" s="163">
        <f>IF(AND(O$2&gt;='Control Panel'!$C$34,O$2&lt;='Control Panel'!$D$34),'Control Panel'!$C41*(O$2+1-'Control Panel'!$C$34)/'Control Panel'!$E$34,IF('Assumptions Processing'!O$2&lt;'Control Panel'!$C$34,0,'Control Panel'!$C41*(1+'Control Panel'!$D41)^(O$2-'Control Panel'!$D$34)))</f>
        <v>173625106.64934397</v>
      </c>
      <c r="P25" s="163">
        <f>IF(AND(P$2&gt;='Control Panel'!$C$34,P$2&lt;='Control Panel'!$D$34),'Control Panel'!$C41*(P$2+1-'Control Panel'!$C$34)/'Control Panel'!$E$34,IF('Assumptions Processing'!P$2&lt;'Control Panel'!$C$34,0,'Control Panel'!$C41*(1+'Control Panel'!$D41)^(P$2-'Control Panel'!$D$34)))</f>
        <v>170152604.51635706</v>
      </c>
      <c r="Q25" s="163">
        <f>IF(AND(Q$2&gt;='Control Panel'!$C$34,Q$2&lt;='Control Panel'!$D$34),'Control Panel'!$C41*(Q$2+1-'Control Panel'!$C$34)/'Control Panel'!$E$34,IF('Assumptions Processing'!Q$2&lt;'Control Panel'!$C$34,0,'Control Panel'!$C41*(1+'Control Panel'!$D41)^(Q$2-'Control Panel'!$D$34)))</f>
        <v>166749552.42602992</v>
      </c>
      <c r="R25" s="163">
        <f>IF(AND(R$2&gt;='Control Panel'!$C$34,R$2&lt;='Control Panel'!$D$34),'Control Panel'!$C41*(R$2+1-'Control Panel'!$C$34)/'Control Panel'!$E$34,IF('Assumptions Processing'!R$2&lt;'Control Panel'!$C$34,0,'Control Panel'!$C41*(1+'Control Panel'!$D41)^(R$2-'Control Panel'!$D$34)))</f>
        <v>163414561.37750933</v>
      </c>
      <c r="S25" s="163">
        <f>IF(AND(S$2&gt;='Control Panel'!$C$34,S$2&lt;='Control Panel'!$D$34),'Control Panel'!$C41*(S$2+1-'Control Panel'!$C$34)/'Control Panel'!$E$34,IF('Assumptions Processing'!S$2&lt;'Control Panel'!$C$34,0,'Control Panel'!$C41*(1+'Control Panel'!$D41)^(S$2-'Control Panel'!$D$34)))</f>
        <v>160146270.14995912</v>
      </c>
      <c r="T25" s="163">
        <f>IF(AND(T$2&gt;='Control Panel'!$C$34,T$2&lt;='Control Panel'!$D$34),'Control Panel'!$C41*(T$2+1-'Control Panel'!$C$34)/'Control Panel'!$E$34,IF('Assumptions Processing'!T$2&lt;'Control Panel'!$C$34,0,'Control Panel'!$C41*(1+'Control Panel'!$D41)^(T$2-'Control Panel'!$D$34)))</f>
        <v>156943344.74695995</v>
      </c>
      <c r="U25" s="163">
        <f>IF(AND(U$2&gt;='Control Panel'!$C$34,U$2&lt;='Control Panel'!$D$34),'Control Panel'!$C41*(U$2+1-'Control Panel'!$C$34)/'Control Panel'!$E$34,IF('Assumptions Processing'!U$2&lt;'Control Panel'!$C$34,0,'Control Panel'!$C41*(1+'Control Panel'!$D41)^(U$2-'Control Panel'!$D$34)))</f>
        <v>153804477.85202074</v>
      </c>
      <c r="V25" s="163">
        <f>IF(AND(V$2&gt;='Control Panel'!$C$34,V$2&lt;='Control Panel'!$D$34),'Control Panel'!$C41*(V$2+1-'Control Panel'!$C$34)/'Control Panel'!$E$34,IF('Assumptions Processing'!V$2&lt;'Control Panel'!$C$34,0,'Control Panel'!$C41*(1+'Control Panel'!$D41)^(V$2-'Control Panel'!$D$34)))</f>
        <v>150728388.29498032</v>
      </c>
      <c r="W25" s="163">
        <f>IF(AND(W$2&gt;='Control Panel'!$C$34,W$2&lt;='Control Panel'!$D$34),'Control Panel'!$C41*(W$2+1-'Control Panel'!$C$34)/'Control Panel'!$E$34,IF('Assumptions Processing'!W$2&lt;'Control Panel'!$C$34,0,'Control Panel'!$C41*(1+'Control Panel'!$D41)^(W$2-'Control Panel'!$D$34)))</f>
        <v>147713820.52908072</v>
      </c>
      <c r="X25" s="163">
        <f>IF(AND(X$2&gt;='Control Panel'!$C$34,X$2&lt;='Control Panel'!$D$34),'Control Panel'!$C41*(X$2+1-'Control Panel'!$C$34)/'Control Panel'!$E$34,IF('Assumptions Processing'!X$2&lt;'Control Panel'!$C$34,0,'Control Panel'!$C41*(1+'Control Panel'!$D41)^(X$2-'Control Panel'!$D$34)))</f>
        <v>144759544.1184991</v>
      </c>
    </row>
    <row r="26" spans="1:24" ht="18" customHeight="1" outlineLevel="1">
      <c r="A26" s="37"/>
      <c r="B26" s="110" t="str">
        <f>'Control Panel'!B42</f>
        <v>SG&amp;A</v>
      </c>
      <c r="C26" s="36"/>
      <c r="D26" s="11"/>
      <c r="E26" s="163">
        <f>IF(AND(E$2&gt;='Control Panel'!$C$34,E$2&lt;='Control Panel'!$D$34),'Control Panel'!$C42*(E$2+1-'Control Panel'!$C$34)/'Control Panel'!$E$34,IF('Assumptions Processing'!E$2&lt;'Control Panel'!$C$34,0,'Control Panel'!$C42*(1+'Control Panel'!$D42)^(E$2-'Control Panel'!$D$34)))</f>
        <v>0</v>
      </c>
      <c r="F26" s="163">
        <f>IF(AND(F$2&gt;='Control Panel'!$C$34,F$2&lt;='Control Panel'!$D$34),'Control Panel'!$C42*(F$2+1-'Control Panel'!$C$34)/'Control Panel'!$E$34,IF('Assumptions Processing'!F$2&lt;'Control Panel'!$C$34,0,'Control Panel'!$C42*(1+'Control Panel'!$D42)^(F$2-'Control Panel'!$D$34)))</f>
        <v>100000000</v>
      </c>
      <c r="G26" s="163">
        <f>IF(AND(G$2&gt;='Control Panel'!$C$34,G$2&lt;='Control Panel'!$D$34),'Control Panel'!$C42*(G$2+1-'Control Panel'!$C$34)/'Control Panel'!$E$34,IF('Assumptions Processing'!G$2&lt;'Control Panel'!$C$34,0,'Control Panel'!$C42*(1+'Control Panel'!$D42)^(G$2-'Control Panel'!$D$34)))</f>
        <v>200000000</v>
      </c>
      <c r="H26" s="163">
        <f>IF(AND(H$2&gt;='Control Panel'!$C$34,H$2&lt;='Control Panel'!$D$34),'Control Panel'!$C42*(H$2+1-'Control Panel'!$C$34)/'Control Panel'!$E$34,IF('Assumptions Processing'!H$2&lt;'Control Panel'!$C$34,0,'Control Panel'!$C42*(1+'Control Panel'!$D42)^(H$2-'Control Panel'!$D$34)))</f>
        <v>300000000</v>
      </c>
      <c r="I26" s="163">
        <f>IF(AND(I$2&gt;='Control Panel'!$C$34,I$2&lt;='Control Panel'!$D$34),'Control Panel'!$C42*(I$2+1-'Control Panel'!$C$34)/'Control Panel'!$E$34,IF('Assumptions Processing'!I$2&lt;'Control Panel'!$C$34,0,'Control Panel'!$C42*(1+'Control Panel'!$D42)^(I$2-'Control Panel'!$D$34)))</f>
        <v>285000000</v>
      </c>
      <c r="J26" s="163">
        <f>IF(AND(J$2&gt;='Control Panel'!$C$34,J$2&lt;='Control Panel'!$D$34),'Control Panel'!$C42*(J$2+1-'Control Panel'!$C$34)/'Control Panel'!$E$34,IF('Assumptions Processing'!J$2&lt;'Control Panel'!$C$34,0,'Control Panel'!$C42*(1+'Control Panel'!$D42)^(J$2-'Control Panel'!$D$34)))</f>
        <v>270750000</v>
      </c>
      <c r="K26" s="163">
        <f>IF(AND(K$2&gt;='Control Panel'!$C$34,K$2&lt;='Control Panel'!$D$34),'Control Panel'!$C42*(K$2+1-'Control Panel'!$C$34)/'Control Panel'!$E$34,IF('Assumptions Processing'!K$2&lt;'Control Panel'!$C$34,0,'Control Panel'!$C42*(1+'Control Panel'!$D42)^(K$2-'Control Panel'!$D$34)))</f>
        <v>257212499.99999997</v>
      </c>
      <c r="L26" s="163">
        <f>IF(AND(L$2&gt;='Control Panel'!$C$34,L$2&lt;='Control Panel'!$D$34),'Control Panel'!$C42*(L$2+1-'Control Panel'!$C$34)/'Control Panel'!$E$34,IF('Assumptions Processing'!L$2&lt;'Control Panel'!$C$34,0,'Control Panel'!$C42*(1+'Control Panel'!$D42)^(L$2-'Control Panel'!$D$34)))</f>
        <v>244351875</v>
      </c>
      <c r="M26" s="163">
        <f>IF(AND(M$2&gt;='Control Panel'!$C$34,M$2&lt;='Control Panel'!$D$34),'Control Panel'!$C42*(M$2+1-'Control Panel'!$C$34)/'Control Panel'!$E$34,IF('Assumptions Processing'!M$2&lt;'Control Panel'!$C$34,0,'Control Panel'!$C42*(1+'Control Panel'!$D42)^(M$2-'Control Panel'!$D$34)))</f>
        <v>232134281.25</v>
      </c>
      <c r="N26" s="163">
        <f>IF(AND(N$2&gt;='Control Panel'!$C$34,N$2&lt;='Control Panel'!$D$34),'Control Panel'!$C42*(N$2+1-'Control Panel'!$C$34)/'Control Panel'!$E$34,IF('Assumptions Processing'!N$2&lt;'Control Panel'!$C$34,0,'Control Panel'!$C42*(1+'Control Panel'!$D42)^(N$2-'Control Panel'!$D$34)))</f>
        <v>220527567.18749997</v>
      </c>
      <c r="O26" s="163">
        <f>IF(AND(O$2&gt;='Control Panel'!$C$34,O$2&lt;='Control Panel'!$D$34),'Control Panel'!$C42*(O$2+1-'Control Panel'!$C$34)/'Control Panel'!$E$34,IF('Assumptions Processing'!O$2&lt;'Control Panel'!$C$34,0,'Control Panel'!$C42*(1+'Control Panel'!$D42)^(O$2-'Control Panel'!$D$34)))</f>
        <v>209501188.82812497</v>
      </c>
      <c r="P26" s="163">
        <f>IF(AND(P$2&gt;='Control Panel'!$C$34,P$2&lt;='Control Panel'!$D$34),'Control Panel'!$C42*(P$2+1-'Control Panel'!$C$34)/'Control Panel'!$E$34,IF('Assumptions Processing'!P$2&lt;'Control Panel'!$C$34,0,'Control Panel'!$C42*(1+'Control Panel'!$D42)^(P$2-'Control Panel'!$D$34)))</f>
        <v>199026129.38671875</v>
      </c>
      <c r="Q26" s="163">
        <f>IF(AND(Q$2&gt;='Control Panel'!$C$34,Q$2&lt;='Control Panel'!$D$34),'Control Panel'!$C42*(Q$2+1-'Control Panel'!$C$34)/'Control Panel'!$E$34,IF('Assumptions Processing'!Q$2&lt;'Control Panel'!$C$34,0,'Control Panel'!$C42*(1+'Control Panel'!$D42)^(Q$2-'Control Panel'!$D$34)))</f>
        <v>189074822.91738278</v>
      </c>
      <c r="R26" s="163">
        <f>IF(AND(R$2&gt;='Control Panel'!$C$34,R$2&lt;='Control Panel'!$D$34),'Control Panel'!$C42*(R$2+1-'Control Panel'!$C$34)/'Control Panel'!$E$34,IF('Assumptions Processing'!R$2&lt;'Control Panel'!$C$34,0,'Control Panel'!$C42*(1+'Control Panel'!$D42)^(R$2-'Control Panel'!$D$34)))</f>
        <v>179621081.77151367</v>
      </c>
      <c r="S26" s="163">
        <f>IF(AND(S$2&gt;='Control Panel'!$C$34,S$2&lt;='Control Panel'!$D$34),'Control Panel'!$C42*(S$2+1-'Control Panel'!$C$34)/'Control Panel'!$E$34,IF('Assumptions Processing'!S$2&lt;'Control Panel'!$C$34,0,'Control Panel'!$C42*(1+'Control Panel'!$D42)^(S$2-'Control Panel'!$D$34)))</f>
        <v>170640027.68293798</v>
      </c>
      <c r="T26" s="163">
        <f>IF(AND(T$2&gt;='Control Panel'!$C$34,T$2&lt;='Control Panel'!$D$34),'Control Panel'!$C42*(T$2+1-'Control Panel'!$C$34)/'Control Panel'!$E$34,IF('Assumptions Processing'!T$2&lt;'Control Panel'!$C$34,0,'Control Panel'!$C42*(1+'Control Panel'!$D42)^(T$2-'Control Panel'!$D$34)))</f>
        <v>162108026.29879105</v>
      </c>
      <c r="U26" s="163">
        <f>IF(AND(U$2&gt;='Control Panel'!$C$34,U$2&lt;='Control Panel'!$D$34),'Control Panel'!$C42*(U$2+1-'Control Panel'!$C$34)/'Control Panel'!$E$34,IF('Assumptions Processing'!U$2&lt;'Control Panel'!$C$34,0,'Control Panel'!$C42*(1+'Control Panel'!$D42)^(U$2-'Control Panel'!$D$34)))</f>
        <v>154002624.98385152</v>
      </c>
      <c r="V26" s="163">
        <f>IF(AND(V$2&gt;='Control Panel'!$C$34,V$2&lt;='Control Panel'!$D$34),'Control Panel'!$C42*(V$2+1-'Control Panel'!$C$34)/'Control Panel'!$E$34,IF('Assumptions Processing'!V$2&lt;'Control Panel'!$C$34,0,'Control Panel'!$C42*(1+'Control Panel'!$D42)^(V$2-'Control Panel'!$D$34)))</f>
        <v>146302493.73465893</v>
      </c>
      <c r="W26" s="163">
        <f>IF(AND(W$2&gt;='Control Panel'!$C$34,W$2&lt;='Control Panel'!$D$34),'Control Panel'!$C42*(W$2+1-'Control Panel'!$C$34)/'Control Panel'!$E$34,IF('Assumptions Processing'!W$2&lt;'Control Panel'!$C$34,0,'Control Panel'!$C42*(1+'Control Panel'!$D42)^(W$2-'Control Panel'!$D$34)))</f>
        <v>138987369.04792601</v>
      </c>
      <c r="X26" s="163">
        <f>IF(AND(X$2&gt;='Control Panel'!$C$34,X$2&lt;='Control Panel'!$D$34),'Control Panel'!$C42*(X$2+1-'Control Panel'!$C$34)/'Control Panel'!$E$34,IF('Assumptions Processing'!X$2&lt;'Control Panel'!$C$34,0,'Control Panel'!$C42*(1+'Control Panel'!$D42)^(X$2-'Control Panel'!$D$34)))</f>
        <v>132038000.59552969</v>
      </c>
    </row>
    <row r="27" spans="1:24" ht="18" customHeight="1" outlineLevel="1">
      <c r="A27" s="37"/>
      <c r="B27" s="110" t="str">
        <f>'Control Panel'!B43</f>
        <v>R&amp;D</v>
      </c>
      <c r="C27" s="36"/>
      <c r="D27" s="36"/>
      <c r="E27" s="163">
        <f>IF(AND(E$2&gt;='Control Panel'!$C$34,E$2&lt;='Control Panel'!$D$34),'Control Panel'!$C43*(E$2+1-'Control Panel'!$C$34)/'Control Panel'!$E$34,IF('Assumptions Processing'!E$2&lt;'Control Panel'!$C$34,0,'Control Panel'!$C43*(1+'Control Panel'!$D43)^(E$2-'Control Panel'!$D$34)))</f>
        <v>0</v>
      </c>
      <c r="F27" s="163">
        <f>IF(AND(F$2&gt;='Control Panel'!$C$34,F$2&lt;='Control Panel'!$D$34),'Control Panel'!$C43*(F$2+1-'Control Panel'!$C$34)/'Control Panel'!$E$34,IF('Assumptions Processing'!F$2&lt;'Control Panel'!$C$34,0,'Control Panel'!$C43*(1+'Control Panel'!$D43)^(F$2-'Control Panel'!$D$34)))</f>
        <v>50000000</v>
      </c>
      <c r="G27" s="163">
        <f>IF(AND(G$2&gt;='Control Panel'!$C$34,G$2&lt;='Control Panel'!$D$34),'Control Panel'!$C43*(G$2+1-'Control Panel'!$C$34)/'Control Panel'!$E$34,IF('Assumptions Processing'!G$2&lt;'Control Panel'!$C$34,0,'Control Panel'!$C43*(1+'Control Panel'!$D43)^(G$2-'Control Panel'!$D$34)))</f>
        <v>100000000</v>
      </c>
      <c r="H27" s="163">
        <f>IF(AND(H$2&gt;='Control Panel'!$C$34,H$2&lt;='Control Panel'!$D$34),'Control Panel'!$C43*(H$2+1-'Control Panel'!$C$34)/'Control Panel'!$E$34,IF('Assumptions Processing'!H$2&lt;'Control Panel'!$C$34,0,'Control Panel'!$C43*(1+'Control Panel'!$D43)^(H$2-'Control Panel'!$D$34)))</f>
        <v>150000000</v>
      </c>
      <c r="I27" s="163">
        <f>IF(AND(I$2&gt;='Control Panel'!$C$34,I$2&lt;='Control Panel'!$D$34),'Control Panel'!$C43*(I$2+1-'Control Panel'!$C$34)/'Control Panel'!$E$34,IF('Assumptions Processing'!I$2&lt;'Control Panel'!$C$34,0,'Control Panel'!$C43*(1+'Control Panel'!$D43)^(I$2-'Control Panel'!$D$34)))</f>
        <v>138000000</v>
      </c>
      <c r="J27" s="163">
        <f>IF(AND(J$2&gt;='Control Panel'!$C$34,J$2&lt;='Control Panel'!$D$34),'Control Panel'!$C43*(J$2+1-'Control Panel'!$C$34)/'Control Panel'!$E$34,IF('Assumptions Processing'!J$2&lt;'Control Panel'!$C$34,0,'Control Panel'!$C43*(1+'Control Panel'!$D43)^(J$2-'Control Panel'!$D$34)))</f>
        <v>126960000</v>
      </c>
      <c r="K27" s="163">
        <f>IF(AND(K$2&gt;='Control Panel'!$C$34,K$2&lt;='Control Panel'!$D$34),'Control Panel'!$C43*(K$2+1-'Control Panel'!$C$34)/'Control Panel'!$E$34,IF('Assumptions Processing'!K$2&lt;'Control Panel'!$C$34,0,'Control Panel'!$C43*(1+'Control Panel'!$D43)^(K$2-'Control Panel'!$D$34)))</f>
        <v>116803200</v>
      </c>
      <c r="L27" s="163">
        <f>IF(AND(L$2&gt;='Control Panel'!$C$34,L$2&lt;='Control Panel'!$D$34),'Control Panel'!$C43*(L$2+1-'Control Panel'!$C$34)/'Control Panel'!$E$34,IF('Assumptions Processing'!L$2&lt;'Control Panel'!$C$34,0,'Control Panel'!$C43*(1+'Control Panel'!$D43)^(L$2-'Control Panel'!$D$34)))</f>
        <v>107458944.00000001</v>
      </c>
      <c r="M27" s="163">
        <f>IF(AND(M$2&gt;='Control Panel'!$C$34,M$2&lt;='Control Panel'!$D$34),'Control Panel'!$C43*(M$2+1-'Control Panel'!$C$34)/'Control Panel'!$E$34,IF('Assumptions Processing'!M$2&lt;'Control Panel'!$C$34,0,'Control Panel'!$C43*(1+'Control Panel'!$D43)^(M$2-'Control Panel'!$D$34)))</f>
        <v>98862228.480000019</v>
      </c>
      <c r="N27" s="163">
        <f>IF(AND(N$2&gt;='Control Panel'!$C$34,N$2&lt;='Control Panel'!$D$34),'Control Panel'!$C43*(N$2+1-'Control Panel'!$C$34)/'Control Panel'!$E$34,IF('Assumptions Processing'!N$2&lt;'Control Panel'!$C$34,0,'Control Panel'!$C43*(1+'Control Panel'!$D43)^(N$2-'Control Panel'!$D$34)))</f>
        <v>90953250.201600015</v>
      </c>
      <c r="O27" s="163">
        <f>IF(AND(O$2&gt;='Control Panel'!$C$34,O$2&lt;='Control Panel'!$D$34),'Control Panel'!$C43*(O$2+1-'Control Panel'!$C$34)/'Control Panel'!$E$34,IF('Assumptions Processing'!O$2&lt;'Control Panel'!$C$34,0,'Control Panel'!$C43*(1+'Control Panel'!$D43)^(O$2-'Control Panel'!$D$34)))</f>
        <v>83676990.185472012</v>
      </c>
      <c r="P27" s="163">
        <f>IF(AND(P$2&gt;='Control Panel'!$C$34,P$2&lt;='Control Panel'!$D$34),'Control Panel'!$C43*(P$2+1-'Control Panel'!$C$34)/'Control Panel'!$E$34,IF('Assumptions Processing'!P$2&lt;'Control Panel'!$C$34,0,'Control Panel'!$C43*(1+'Control Panel'!$D43)^(P$2-'Control Panel'!$D$34)))</f>
        <v>76982830.970634267</v>
      </c>
      <c r="Q27" s="163">
        <f>IF(AND(Q$2&gt;='Control Panel'!$C$34,Q$2&lt;='Control Panel'!$D$34),'Control Panel'!$C43*(Q$2+1-'Control Panel'!$C$34)/'Control Panel'!$E$34,IF('Assumptions Processing'!Q$2&lt;'Control Panel'!$C$34,0,'Control Panel'!$C43*(1+'Control Panel'!$D43)^(Q$2-'Control Panel'!$D$34)))</f>
        <v>70824204.49298352</v>
      </c>
      <c r="R27" s="163">
        <f>IF(AND(R$2&gt;='Control Panel'!$C$34,R$2&lt;='Control Panel'!$D$34),'Control Panel'!$C43*(R$2+1-'Control Panel'!$C$34)/'Control Panel'!$E$34,IF('Assumptions Processing'!R$2&lt;'Control Panel'!$C$34,0,'Control Panel'!$C43*(1+'Control Panel'!$D43)^(R$2-'Control Panel'!$D$34)))</f>
        <v>65158268.133544847</v>
      </c>
      <c r="S27" s="163">
        <f>IF(AND(S$2&gt;='Control Panel'!$C$34,S$2&lt;='Control Panel'!$D$34),'Control Panel'!$C43*(S$2+1-'Control Panel'!$C$34)/'Control Panel'!$E$34,IF('Assumptions Processing'!S$2&lt;'Control Panel'!$C$34,0,'Control Panel'!$C43*(1+'Control Panel'!$D43)^(S$2-'Control Panel'!$D$34)))</f>
        <v>59945606.682861261</v>
      </c>
      <c r="T27" s="163">
        <f>IF(AND(T$2&gt;='Control Panel'!$C$34,T$2&lt;='Control Panel'!$D$34),'Control Panel'!$C43*(T$2+1-'Control Panel'!$C$34)/'Control Panel'!$E$34,IF('Assumptions Processing'!T$2&lt;'Control Panel'!$C$34,0,'Control Panel'!$C43*(1+'Control Panel'!$D43)^(T$2-'Control Panel'!$D$34)))</f>
        <v>55149958.148232363</v>
      </c>
      <c r="U27" s="163">
        <f>IF(AND(U$2&gt;='Control Panel'!$C$34,U$2&lt;='Control Panel'!$D$34),'Control Panel'!$C43*(U$2+1-'Control Panel'!$C$34)/'Control Panel'!$E$34,IF('Assumptions Processing'!U$2&lt;'Control Panel'!$C$34,0,'Control Panel'!$C43*(1+'Control Panel'!$D43)^(U$2-'Control Panel'!$D$34)))</f>
        <v>50737961.496373773</v>
      </c>
      <c r="V27" s="163">
        <f>IF(AND(V$2&gt;='Control Panel'!$C$34,V$2&lt;='Control Panel'!$D$34),'Control Panel'!$C43*(V$2+1-'Control Panel'!$C$34)/'Control Panel'!$E$34,IF('Assumptions Processing'!V$2&lt;'Control Panel'!$C$34,0,'Control Panel'!$C43*(1+'Control Panel'!$D43)^(V$2-'Control Panel'!$D$34)))</f>
        <v>46678924.576663874</v>
      </c>
      <c r="W27" s="163">
        <f>IF(AND(W$2&gt;='Control Panel'!$C$34,W$2&lt;='Control Panel'!$D$34),'Control Panel'!$C43*(W$2+1-'Control Panel'!$C$34)/'Control Panel'!$E$34,IF('Assumptions Processing'!W$2&lt;'Control Panel'!$C$34,0,'Control Panel'!$C43*(1+'Control Panel'!$D43)^(W$2-'Control Panel'!$D$34)))</f>
        <v>42944610.610530764</v>
      </c>
      <c r="X27" s="163">
        <f>IF(AND(X$2&gt;='Control Panel'!$C$34,X$2&lt;='Control Panel'!$D$34),'Control Panel'!$C43*(X$2+1-'Control Panel'!$C$34)/'Control Panel'!$E$34,IF('Assumptions Processing'!X$2&lt;'Control Panel'!$C$34,0,'Control Panel'!$C43*(1+'Control Panel'!$D43)^(X$2-'Control Panel'!$D$34)))</f>
        <v>39509041.761688307</v>
      </c>
    </row>
    <row r="28" spans="1:24" ht="18" customHeight="1" outlineLevel="1">
      <c r="A28" s="37"/>
      <c r="B28" s="110" t="str">
        <f>'Control Panel'!B44</f>
        <v>[Other Costs #1]</v>
      </c>
      <c r="C28" s="36"/>
      <c r="D28" s="11"/>
      <c r="E28" s="146">
        <f>IF(AND(E$2&gt;='Control Panel'!$C$34,E$2&lt;='Control Panel'!$D$34),'Control Panel'!$C44*(E$2+1-'Control Panel'!$C$34)/'Control Panel'!$E$34,IF('Assumptions Processing'!E$2&lt;'Control Panel'!$C$34,0,'Control Panel'!$C44*(1+'Control Panel'!$D44)^(E$2-'Control Panel'!$D$34)))</f>
        <v>0</v>
      </c>
      <c r="F28" s="146">
        <f>IF(AND(F$2&gt;='Control Panel'!$C$34,F$2&lt;='Control Panel'!$D$34),'Control Panel'!$C44*(F$2+1-'Control Panel'!$C$34)/'Control Panel'!$E$34,IF('Assumptions Processing'!F$2&lt;'Control Panel'!$C$34,0,'Control Panel'!$C44*(1+'Control Panel'!$D44)^(F$2-'Control Panel'!$D$34)))</f>
        <v>0</v>
      </c>
      <c r="G28" s="146">
        <f>IF(AND(G$2&gt;='Control Panel'!$C$34,G$2&lt;='Control Panel'!$D$34),'Control Panel'!$C44*(G$2+1-'Control Panel'!$C$34)/'Control Panel'!$E$34,IF('Assumptions Processing'!G$2&lt;'Control Panel'!$C$34,0,'Control Panel'!$C44*(1+'Control Panel'!$D44)^(G$2-'Control Panel'!$D$34)))</f>
        <v>0</v>
      </c>
      <c r="H28" s="146">
        <f>IF(AND(H$2&gt;='Control Panel'!$C$34,H$2&lt;='Control Panel'!$D$34),'Control Panel'!$C44*(H$2+1-'Control Panel'!$C$34)/'Control Panel'!$E$34,IF('Assumptions Processing'!H$2&lt;'Control Panel'!$C$34,0,'Control Panel'!$C44*(1+'Control Panel'!$D44)^(H$2-'Control Panel'!$D$34)))</f>
        <v>0</v>
      </c>
      <c r="I28" s="146">
        <f>IF(AND(I$2&gt;='Control Panel'!$C$34,I$2&lt;='Control Panel'!$D$34),'Control Panel'!$C44*(I$2+1-'Control Panel'!$C$34)/'Control Panel'!$E$34,IF('Assumptions Processing'!I$2&lt;'Control Panel'!$C$34,0,'Control Panel'!$C44*(1+'Control Panel'!$D44)^(I$2-'Control Panel'!$D$34)))</f>
        <v>0</v>
      </c>
      <c r="J28" s="146">
        <f>IF(AND(J$2&gt;='Control Panel'!$C$34,J$2&lt;='Control Panel'!$D$34),'Control Panel'!$C44*(J$2+1-'Control Panel'!$C$34)/'Control Panel'!$E$34,IF('Assumptions Processing'!J$2&lt;'Control Panel'!$C$34,0,'Control Panel'!$C44*(1+'Control Panel'!$D44)^(J$2-'Control Panel'!$D$34)))</f>
        <v>0</v>
      </c>
      <c r="K28" s="146">
        <f>IF(AND(K$2&gt;='Control Panel'!$C$34,K$2&lt;='Control Panel'!$D$34),'Control Panel'!$C44*(K$2+1-'Control Panel'!$C$34)/'Control Panel'!$E$34,IF('Assumptions Processing'!K$2&lt;'Control Panel'!$C$34,0,'Control Panel'!$C44*(1+'Control Panel'!$D44)^(K$2-'Control Panel'!$D$34)))</f>
        <v>0</v>
      </c>
      <c r="L28" s="146">
        <f>IF(AND(L$2&gt;='Control Panel'!$C$34,L$2&lt;='Control Panel'!$D$34),'Control Panel'!$C44*(L$2+1-'Control Panel'!$C$34)/'Control Panel'!$E$34,IF('Assumptions Processing'!L$2&lt;'Control Panel'!$C$34,0,'Control Panel'!$C44*(1+'Control Panel'!$D44)^(L$2-'Control Panel'!$D$34)))</f>
        <v>0</v>
      </c>
      <c r="M28" s="146">
        <f>IF(AND(M$2&gt;='Control Panel'!$C$34,M$2&lt;='Control Panel'!$D$34),'Control Panel'!$C44*(M$2+1-'Control Panel'!$C$34)/'Control Panel'!$E$34,IF('Assumptions Processing'!M$2&lt;'Control Panel'!$C$34,0,'Control Panel'!$C44*(1+'Control Panel'!$D44)^(M$2-'Control Panel'!$D$34)))</f>
        <v>0</v>
      </c>
      <c r="N28" s="146">
        <f>IF(AND(N$2&gt;='Control Panel'!$C$34,N$2&lt;='Control Panel'!$D$34),'Control Panel'!$C44*(N$2+1-'Control Panel'!$C$34)/'Control Panel'!$E$34,IF('Assumptions Processing'!N$2&lt;'Control Panel'!$C$34,0,'Control Panel'!$C44*(1+'Control Panel'!$D44)^(N$2-'Control Panel'!$D$34)))</f>
        <v>0</v>
      </c>
      <c r="O28" s="146">
        <f>IF(AND(O$2&gt;='Control Panel'!$C$34,O$2&lt;='Control Panel'!$D$34),'Control Panel'!$C44*(O$2+1-'Control Panel'!$C$34)/'Control Panel'!$E$34,IF('Assumptions Processing'!O$2&lt;'Control Panel'!$C$34,0,'Control Panel'!$C44*(1+'Control Panel'!$D44)^(O$2-'Control Panel'!$D$34)))</f>
        <v>0</v>
      </c>
      <c r="P28" s="146">
        <f>IF(AND(P$2&gt;='Control Panel'!$C$34,P$2&lt;='Control Panel'!$D$34),'Control Panel'!$C44*(P$2+1-'Control Panel'!$C$34)/'Control Panel'!$E$34,IF('Assumptions Processing'!P$2&lt;'Control Panel'!$C$34,0,'Control Panel'!$C44*(1+'Control Panel'!$D44)^(P$2-'Control Panel'!$D$34)))</f>
        <v>0</v>
      </c>
      <c r="Q28" s="146">
        <f>IF(AND(Q$2&gt;='Control Panel'!$C$34,Q$2&lt;='Control Panel'!$D$34),'Control Panel'!$C44*(Q$2+1-'Control Panel'!$C$34)/'Control Panel'!$E$34,IF('Assumptions Processing'!Q$2&lt;'Control Panel'!$C$34,0,'Control Panel'!$C44*(1+'Control Panel'!$D44)^(Q$2-'Control Panel'!$D$34)))</f>
        <v>0</v>
      </c>
      <c r="R28" s="146">
        <f>IF(AND(R$2&gt;='Control Panel'!$C$34,R$2&lt;='Control Panel'!$D$34),'Control Panel'!$C44*(R$2+1-'Control Panel'!$C$34)/'Control Panel'!$E$34,IF('Assumptions Processing'!R$2&lt;'Control Panel'!$C$34,0,'Control Panel'!$C44*(1+'Control Panel'!$D44)^(R$2-'Control Panel'!$D$34)))</f>
        <v>0</v>
      </c>
      <c r="S28" s="146">
        <f>IF(AND(S$2&gt;='Control Panel'!$C$34,S$2&lt;='Control Panel'!$D$34),'Control Panel'!$C44*(S$2+1-'Control Panel'!$C$34)/'Control Panel'!$E$34,IF('Assumptions Processing'!S$2&lt;'Control Panel'!$C$34,0,'Control Panel'!$C44*(1+'Control Panel'!$D44)^(S$2-'Control Panel'!$D$34)))</f>
        <v>0</v>
      </c>
      <c r="T28" s="146">
        <f>IF(AND(T$2&gt;='Control Panel'!$C$34,T$2&lt;='Control Panel'!$D$34),'Control Panel'!$C44*(T$2+1-'Control Panel'!$C$34)/'Control Panel'!$E$34,IF('Assumptions Processing'!T$2&lt;'Control Panel'!$C$34,0,'Control Panel'!$C44*(1+'Control Panel'!$D44)^(T$2-'Control Panel'!$D$34)))</f>
        <v>0</v>
      </c>
      <c r="U28" s="146">
        <f>IF(AND(U$2&gt;='Control Panel'!$C$34,U$2&lt;='Control Panel'!$D$34),'Control Panel'!$C44*(U$2+1-'Control Panel'!$C$34)/'Control Panel'!$E$34,IF('Assumptions Processing'!U$2&lt;'Control Panel'!$C$34,0,'Control Panel'!$C44*(1+'Control Panel'!$D44)^(U$2-'Control Panel'!$D$34)))</f>
        <v>0</v>
      </c>
      <c r="V28" s="146">
        <f>IF(AND(V$2&gt;='Control Panel'!$C$34,V$2&lt;='Control Panel'!$D$34),'Control Panel'!$C44*(V$2+1-'Control Panel'!$C$34)/'Control Panel'!$E$34,IF('Assumptions Processing'!V$2&lt;'Control Panel'!$C$34,0,'Control Panel'!$C44*(1+'Control Panel'!$D44)^(V$2-'Control Panel'!$D$34)))</f>
        <v>0</v>
      </c>
      <c r="W28" s="146">
        <f>IF(AND(W$2&gt;='Control Panel'!$C$34,W$2&lt;='Control Panel'!$D$34),'Control Panel'!$C44*(W$2+1-'Control Panel'!$C$34)/'Control Panel'!$E$34,IF('Assumptions Processing'!W$2&lt;'Control Panel'!$C$34,0,'Control Panel'!$C44*(1+'Control Panel'!$D44)^(W$2-'Control Panel'!$D$34)))</f>
        <v>0</v>
      </c>
      <c r="X28" s="146">
        <f>IF(AND(X$2&gt;='Control Panel'!$C$34,X$2&lt;='Control Panel'!$D$34),'Control Panel'!$C44*(X$2+1-'Control Panel'!$C$34)/'Control Panel'!$E$34,IF('Assumptions Processing'!X$2&lt;'Control Panel'!$C$34,0,'Control Panel'!$C44*(1+'Control Panel'!$D44)^(X$2-'Control Panel'!$D$34)))</f>
        <v>0</v>
      </c>
    </row>
    <row r="29" spans="1:24" ht="18" customHeight="1" outlineLevel="1">
      <c r="A29" s="37"/>
      <c r="B29" s="110" t="str">
        <f>'Control Panel'!B45</f>
        <v>[Other Costs #2]</v>
      </c>
      <c r="C29" s="36"/>
      <c r="D29" s="11"/>
      <c r="E29" s="146">
        <f>IF(AND(E$2&gt;='Control Panel'!$C$34,E$2&lt;='Control Panel'!$D$34),'Control Panel'!$C45*(E$2+1-'Control Panel'!$C$34)/'Control Panel'!$E$34,IF('Assumptions Processing'!E$2&lt;'Control Panel'!$C$34,0,'Control Panel'!$C45*(1+'Control Panel'!$D45)^(E$2-'Control Panel'!$D$34)))</f>
        <v>0</v>
      </c>
      <c r="F29" s="146">
        <f>IF(AND(F$2&gt;='Control Panel'!$C$34,F$2&lt;='Control Panel'!$D$34),'Control Panel'!$C45*(F$2+1-'Control Panel'!$C$34)/'Control Panel'!$E$34,IF('Assumptions Processing'!F$2&lt;'Control Panel'!$C$34,0,'Control Panel'!$C45*(1+'Control Panel'!$D45)^(F$2-'Control Panel'!$D$34)))</f>
        <v>0</v>
      </c>
      <c r="G29" s="146">
        <f>IF(AND(G$2&gt;='Control Panel'!$C$34,G$2&lt;='Control Panel'!$D$34),'Control Panel'!$C45*(G$2+1-'Control Panel'!$C$34)/'Control Panel'!$E$34,IF('Assumptions Processing'!G$2&lt;'Control Panel'!$C$34,0,'Control Panel'!$C45*(1+'Control Panel'!$D45)^(G$2-'Control Panel'!$D$34)))</f>
        <v>0</v>
      </c>
      <c r="H29" s="146">
        <f>IF(AND(H$2&gt;='Control Panel'!$C$34,H$2&lt;='Control Panel'!$D$34),'Control Panel'!$C45*(H$2+1-'Control Panel'!$C$34)/'Control Panel'!$E$34,IF('Assumptions Processing'!H$2&lt;'Control Panel'!$C$34,0,'Control Panel'!$C45*(1+'Control Panel'!$D45)^(H$2-'Control Panel'!$D$34)))</f>
        <v>0</v>
      </c>
      <c r="I29" s="146">
        <f>IF(AND(I$2&gt;='Control Panel'!$C$34,I$2&lt;='Control Panel'!$D$34),'Control Panel'!$C45*(I$2+1-'Control Panel'!$C$34)/'Control Panel'!$E$34,IF('Assumptions Processing'!I$2&lt;'Control Panel'!$C$34,0,'Control Panel'!$C45*(1+'Control Panel'!$D45)^(I$2-'Control Panel'!$D$34)))</f>
        <v>0</v>
      </c>
      <c r="J29" s="146">
        <f>IF(AND(J$2&gt;='Control Panel'!$C$34,J$2&lt;='Control Panel'!$D$34),'Control Panel'!$C45*(J$2+1-'Control Panel'!$C$34)/'Control Panel'!$E$34,IF('Assumptions Processing'!J$2&lt;'Control Panel'!$C$34,0,'Control Panel'!$C45*(1+'Control Panel'!$D45)^(J$2-'Control Panel'!$D$34)))</f>
        <v>0</v>
      </c>
      <c r="K29" s="146">
        <f>IF(AND(K$2&gt;='Control Panel'!$C$34,K$2&lt;='Control Panel'!$D$34),'Control Panel'!$C45*(K$2+1-'Control Panel'!$C$34)/'Control Panel'!$E$34,IF('Assumptions Processing'!K$2&lt;'Control Panel'!$C$34,0,'Control Panel'!$C45*(1+'Control Panel'!$D45)^(K$2-'Control Panel'!$D$34)))</f>
        <v>0</v>
      </c>
      <c r="L29" s="146">
        <f>IF(AND(L$2&gt;='Control Panel'!$C$34,L$2&lt;='Control Panel'!$D$34),'Control Panel'!$C45*(L$2+1-'Control Panel'!$C$34)/'Control Panel'!$E$34,IF('Assumptions Processing'!L$2&lt;'Control Panel'!$C$34,0,'Control Panel'!$C45*(1+'Control Panel'!$D45)^(L$2-'Control Panel'!$D$34)))</f>
        <v>0</v>
      </c>
      <c r="M29" s="146">
        <f>IF(AND(M$2&gt;='Control Panel'!$C$34,M$2&lt;='Control Panel'!$D$34),'Control Panel'!$C45*(M$2+1-'Control Panel'!$C$34)/'Control Panel'!$E$34,IF('Assumptions Processing'!M$2&lt;'Control Panel'!$C$34,0,'Control Panel'!$C45*(1+'Control Panel'!$D45)^(M$2-'Control Panel'!$D$34)))</f>
        <v>0</v>
      </c>
      <c r="N29" s="146">
        <f>IF(AND(N$2&gt;='Control Panel'!$C$34,N$2&lt;='Control Panel'!$D$34),'Control Panel'!$C45*(N$2+1-'Control Panel'!$C$34)/'Control Panel'!$E$34,IF('Assumptions Processing'!N$2&lt;'Control Panel'!$C$34,0,'Control Panel'!$C45*(1+'Control Panel'!$D45)^(N$2-'Control Panel'!$D$34)))</f>
        <v>0</v>
      </c>
      <c r="O29" s="146">
        <f>IF(AND(O$2&gt;='Control Panel'!$C$34,O$2&lt;='Control Panel'!$D$34),'Control Panel'!$C45*(O$2+1-'Control Panel'!$C$34)/'Control Panel'!$E$34,IF('Assumptions Processing'!O$2&lt;'Control Panel'!$C$34,0,'Control Panel'!$C45*(1+'Control Panel'!$D45)^(O$2-'Control Panel'!$D$34)))</f>
        <v>0</v>
      </c>
      <c r="P29" s="146">
        <f>IF(AND(P$2&gt;='Control Panel'!$C$34,P$2&lt;='Control Panel'!$D$34),'Control Panel'!$C45*(P$2+1-'Control Panel'!$C$34)/'Control Panel'!$E$34,IF('Assumptions Processing'!P$2&lt;'Control Panel'!$C$34,0,'Control Panel'!$C45*(1+'Control Panel'!$D45)^(P$2-'Control Panel'!$D$34)))</f>
        <v>0</v>
      </c>
      <c r="Q29" s="146">
        <f>IF(AND(Q$2&gt;='Control Panel'!$C$34,Q$2&lt;='Control Panel'!$D$34),'Control Panel'!$C45*(Q$2+1-'Control Panel'!$C$34)/'Control Panel'!$E$34,IF('Assumptions Processing'!Q$2&lt;'Control Panel'!$C$34,0,'Control Panel'!$C45*(1+'Control Panel'!$D45)^(Q$2-'Control Panel'!$D$34)))</f>
        <v>0</v>
      </c>
      <c r="R29" s="146">
        <f>IF(AND(R$2&gt;='Control Panel'!$C$34,R$2&lt;='Control Panel'!$D$34),'Control Panel'!$C45*(R$2+1-'Control Panel'!$C$34)/'Control Panel'!$E$34,IF('Assumptions Processing'!R$2&lt;'Control Panel'!$C$34,0,'Control Panel'!$C45*(1+'Control Panel'!$D45)^(R$2-'Control Panel'!$D$34)))</f>
        <v>0</v>
      </c>
      <c r="S29" s="146">
        <f>IF(AND(S$2&gt;='Control Panel'!$C$34,S$2&lt;='Control Panel'!$D$34),'Control Panel'!$C45*(S$2+1-'Control Panel'!$C$34)/'Control Panel'!$E$34,IF('Assumptions Processing'!S$2&lt;'Control Panel'!$C$34,0,'Control Panel'!$C45*(1+'Control Panel'!$D45)^(S$2-'Control Panel'!$D$34)))</f>
        <v>0</v>
      </c>
      <c r="T29" s="146">
        <f>IF(AND(T$2&gt;='Control Panel'!$C$34,T$2&lt;='Control Panel'!$D$34),'Control Panel'!$C45*(T$2+1-'Control Panel'!$C$34)/'Control Panel'!$E$34,IF('Assumptions Processing'!T$2&lt;'Control Panel'!$C$34,0,'Control Panel'!$C45*(1+'Control Panel'!$D45)^(T$2-'Control Panel'!$D$34)))</f>
        <v>0</v>
      </c>
      <c r="U29" s="146">
        <f>IF(AND(U$2&gt;='Control Panel'!$C$34,U$2&lt;='Control Panel'!$D$34),'Control Panel'!$C45*(U$2+1-'Control Panel'!$C$34)/'Control Panel'!$E$34,IF('Assumptions Processing'!U$2&lt;'Control Panel'!$C$34,0,'Control Panel'!$C45*(1+'Control Panel'!$D45)^(U$2-'Control Panel'!$D$34)))</f>
        <v>0</v>
      </c>
      <c r="V29" s="146">
        <f>IF(AND(V$2&gt;='Control Panel'!$C$34,V$2&lt;='Control Panel'!$D$34),'Control Panel'!$C45*(V$2+1-'Control Panel'!$C$34)/'Control Panel'!$E$34,IF('Assumptions Processing'!V$2&lt;'Control Panel'!$C$34,0,'Control Panel'!$C45*(1+'Control Panel'!$D45)^(V$2-'Control Panel'!$D$34)))</f>
        <v>0</v>
      </c>
      <c r="W29" s="146">
        <f>IF(AND(W$2&gt;='Control Panel'!$C$34,W$2&lt;='Control Panel'!$D$34),'Control Panel'!$C45*(W$2+1-'Control Panel'!$C$34)/'Control Panel'!$E$34,IF('Assumptions Processing'!W$2&lt;'Control Panel'!$C$34,0,'Control Panel'!$C45*(1+'Control Panel'!$D45)^(W$2-'Control Panel'!$D$34)))</f>
        <v>0</v>
      </c>
      <c r="X29" s="146">
        <f>IF(AND(X$2&gt;='Control Panel'!$C$34,X$2&lt;='Control Panel'!$D$34),'Control Panel'!$C45*(X$2+1-'Control Panel'!$C$34)/'Control Panel'!$E$34,IF('Assumptions Processing'!X$2&lt;'Control Panel'!$C$34,0,'Control Panel'!$C45*(1+'Control Panel'!$D45)^(X$2-'Control Panel'!$D$34)))</f>
        <v>0</v>
      </c>
    </row>
    <row r="30" spans="1:24" ht="18" customHeight="1" outlineLevel="1">
      <c r="A30" s="37"/>
      <c r="B30" s="110" t="str">
        <f>'Control Panel'!B46</f>
        <v>[Other Costs #3]</v>
      </c>
      <c r="C30" s="36"/>
      <c r="D30" s="11"/>
      <c r="E30" s="146">
        <f>IF(AND(E$2&gt;='Control Panel'!$C$34,E$2&lt;='Control Panel'!$D$34),'Control Panel'!$C46*(E$2+1-'Control Panel'!$C$34)/'Control Panel'!$E$34,IF('Assumptions Processing'!E$2&lt;'Control Panel'!$C$34,0,'Control Panel'!$C46*(1+'Control Panel'!$D46)^(E$2-'Control Panel'!$D$34)))</f>
        <v>0</v>
      </c>
      <c r="F30" s="146">
        <f>IF(AND(F$2&gt;='Control Panel'!$C$34,F$2&lt;='Control Panel'!$D$34),'Control Panel'!$C46*(F$2+1-'Control Panel'!$C$34)/'Control Panel'!$E$34,IF('Assumptions Processing'!F$2&lt;'Control Panel'!$C$34,0,'Control Panel'!$C46*(1+'Control Panel'!$D46)^(F$2-'Control Panel'!$D$34)))</f>
        <v>0</v>
      </c>
      <c r="G30" s="146">
        <f>IF(AND(G$2&gt;='Control Panel'!$C$34,G$2&lt;='Control Panel'!$D$34),'Control Panel'!$C46*(G$2+1-'Control Panel'!$C$34)/'Control Panel'!$E$34,IF('Assumptions Processing'!G$2&lt;'Control Panel'!$C$34,0,'Control Panel'!$C46*(1+'Control Panel'!$D46)^(G$2-'Control Panel'!$D$34)))</f>
        <v>0</v>
      </c>
      <c r="H30" s="146">
        <f>IF(AND(H$2&gt;='Control Panel'!$C$34,H$2&lt;='Control Panel'!$D$34),'Control Panel'!$C46*(H$2+1-'Control Panel'!$C$34)/'Control Panel'!$E$34,IF('Assumptions Processing'!H$2&lt;'Control Panel'!$C$34,0,'Control Panel'!$C46*(1+'Control Panel'!$D46)^(H$2-'Control Panel'!$D$34)))</f>
        <v>0</v>
      </c>
      <c r="I30" s="146">
        <f>IF(AND(I$2&gt;='Control Panel'!$C$34,I$2&lt;='Control Panel'!$D$34),'Control Panel'!$C46*(I$2+1-'Control Panel'!$C$34)/'Control Panel'!$E$34,IF('Assumptions Processing'!I$2&lt;'Control Panel'!$C$34,0,'Control Panel'!$C46*(1+'Control Panel'!$D46)^(I$2-'Control Panel'!$D$34)))</f>
        <v>0</v>
      </c>
      <c r="J30" s="146">
        <f>IF(AND(J$2&gt;='Control Panel'!$C$34,J$2&lt;='Control Panel'!$D$34),'Control Panel'!$C46*(J$2+1-'Control Panel'!$C$34)/'Control Panel'!$E$34,IF('Assumptions Processing'!J$2&lt;'Control Panel'!$C$34,0,'Control Panel'!$C46*(1+'Control Panel'!$D46)^(J$2-'Control Panel'!$D$34)))</f>
        <v>0</v>
      </c>
      <c r="K30" s="146">
        <f>IF(AND(K$2&gt;='Control Panel'!$C$34,K$2&lt;='Control Panel'!$D$34),'Control Panel'!$C46*(K$2+1-'Control Panel'!$C$34)/'Control Panel'!$E$34,IF('Assumptions Processing'!K$2&lt;'Control Panel'!$C$34,0,'Control Panel'!$C46*(1+'Control Panel'!$D46)^(K$2-'Control Panel'!$D$34)))</f>
        <v>0</v>
      </c>
      <c r="L30" s="146">
        <f>IF(AND(L$2&gt;='Control Panel'!$C$34,L$2&lt;='Control Panel'!$D$34),'Control Panel'!$C46*(L$2+1-'Control Panel'!$C$34)/'Control Panel'!$E$34,IF('Assumptions Processing'!L$2&lt;'Control Panel'!$C$34,0,'Control Panel'!$C46*(1+'Control Panel'!$D46)^(L$2-'Control Panel'!$D$34)))</f>
        <v>0</v>
      </c>
      <c r="M30" s="146">
        <f>IF(AND(M$2&gt;='Control Panel'!$C$34,M$2&lt;='Control Panel'!$D$34),'Control Panel'!$C46*(M$2+1-'Control Panel'!$C$34)/'Control Panel'!$E$34,IF('Assumptions Processing'!M$2&lt;'Control Panel'!$C$34,0,'Control Panel'!$C46*(1+'Control Panel'!$D46)^(M$2-'Control Panel'!$D$34)))</f>
        <v>0</v>
      </c>
      <c r="N30" s="146">
        <f>IF(AND(N$2&gt;='Control Panel'!$C$34,N$2&lt;='Control Panel'!$D$34),'Control Panel'!$C46*(N$2+1-'Control Panel'!$C$34)/'Control Panel'!$E$34,IF('Assumptions Processing'!N$2&lt;'Control Panel'!$C$34,0,'Control Panel'!$C46*(1+'Control Panel'!$D46)^(N$2-'Control Panel'!$D$34)))</f>
        <v>0</v>
      </c>
      <c r="O30" s="146">
        <f>IF(AND(O$2&gt;='Control Panel'!$C$34,O$2&lt;='Control Panel'!$D$34),'Control Panel'!$C46*(O$2+1-'Control Panel'!$C$34)/'Control Panel'!$E$34,IF('Assumptions Processing'!O$2&lt;'Control Panel'!$C$34,0,'Control Panel'!$C46*(1+'Control Panel'!$D46)^(O$2-'Control Panel'!$D$34)))</f>
        <v>0</v>
      </c>
      <c r="P30" s="146">
        <f>IF(AND(P$2&gt;='Control Panel'!$C$34,P$2&lt;='Control Panel'!$D$34),'Control Panel'!$C46*(P$2+1-'Control Panel'!$C$34)/'Control Panel'!$E$34,IF('Assumptions Processing'!P$2&lt;'Control Panel'!$C$34,0,'Control Panel'!$C46*(1+'Control Panel'!$D46)^(P$2-'Control Panel'!$D$34)))</f>
        <v>0</v>
      </c>
      <c r="Q30" s="146">
        <f>IF(AND(Q$2&gt;='Control Panel'!$C$34,Q$2&lt;='Control Panel'!$D$34),'Control Panel'!$C46*(Q$2+1-'Control Panel'!$C$34)/'Control Panel'!$E$34,IF('Assumptions Processing'!Q$2&lt;'Control Panel'!$C$34,0,'Control Panel'!$C46*(1+'Control Panel'!$D46)^(Q$2-'Control Panel'!$D$34)))</f>
        <v>0</v>
      </c>
      <c r="R30" s="146">
        <f>IF(AND(R$2&gt;='Control Panel'!$C$34,R$2&lt;='Control Panel'!$D$34),'Control Panel'!$C46*(R$2+1-'Control Panel'!$C$34)/'Control Panel'!$E$34,IF('Assumptions Processing'!R$2&lt;'Control Panel'!$C$34,0,'Control Panel'!$C46*(1+'Control Panel'!$D46)^(R$2-'Control Panel'!$D$34)))</f>
        <v>0</v>
      </c>
      <c r="S30" s="146">
        <f>IF(AND(S$2&gt;='Control Panel'!$C$34,S$2&lt;='Control Panel'!$D$34),'Control Panel'!$C46*(S$2+1-'Control Panel'!$C$34)/'Control Panel'!$E$34,IF('Assumptions Processing'!S$2&lt;'Control Panel'!$C$34,0,'Control Panel'!$C46*(1+'Control Panel'!$D46)^(S$2-'Control Panel'!$D$34)))</f>
        <v>0</v>
      </c>
      <c r="T30" s="146">
        <f>IF(AND(T$2&gt;='Control Panel'!$C$34,T$2&lt;='Control Panel'!$D$34),'Control Panel'!$C46*(T$2+1-'Control Panel'!$C$34)/'Control Panel'!$E$34,IF('Assumptions Processing'!T$2&lt;'Control Panel'!$C$34,0,'Control Panel'!$C46*(1+'Control Panel'!$D46)^(T$2-'Control Panel'!$D$34)))</f>
        <v>0</v>
      </c>
      <c r="U30" s="146">
        <f>IF(AND(U$2&gt;='Control Panel'!$C$34,U$2&lt;='Control Panel'!$D$34),'Control Panel'!$C46*(U$2+1-'Control Panel'!$C$34)/'Control Panel'!$E$34,IF('Assumptions Processing'!U$2&lt;'Control Panel'!$C$34,0,'Control Panel'!$C46*(1+'Control Panel'!$D46)^(U$2-'Control Panel'!$D$34)))</f>
        <v>0</v>
      </c>
      <c r="V30" s="146">
        <f>IF(AND(V$2&gt;='Control Panel'!$C$34,V$2&lt;='Control Panel'!$D$34),'Control Panel'!$C46*(V$2+1-'Control Panel'!$C$34)/'Control Panel'!$E$34,IF('Assumptions Processing'!V$2&lt;'Control Panel'!$C$34,0,'Control Panel'!$C46*(1+'Control Panel'!$D46)^(V$2-'Control Panel'!$D$34)))</f>
        <v>0</v>
      </c>
      <c r="W30" s="146">
        <f>IF(AND(W$2&gt;='Control Panel'!$C$34,W$2&lt;='Control Panel'!$D$34),'Control Panel'!$C46*(W$2+1-'Control Panel'!$C$34)/'Control Panel'!$E$34,IF('Assumptions Processing'!W$2&lt;'Control Panel'!$C$34,0,'Control Panel'!$C46*(1+'Control Panel'!$D46)^(W$2-'Control Panel'!$D$34)))</f>
        <v>0</v>
      </c>
      <c r="X30" s="146">
        <f>IF(AND(X$2&gt;='Control Panel'!$C$34,X$2&lt;='Control Panel'!$D$34),'Control Panel'!$C46*(X$2+1-'Control Panel'!$C$34)/'Control Panel'!$E$34,IF('Assumptions Processing'!X$2&lt;'Control Panel'!$C$34,0,'Control Panel'!$C46*(1+'Control Panel'!$D46)^(X$2-'Control Panel'!$D$34)))</f>
        <v>0</v>
      </c>
    </row>
    <row r="31" spans="1:24" ht="18" customHeight="1" outlineLevel="1">
      <c r="A31" s="37"/>
      <c r="B31" s="119" t="s">
        <v>115</v>
      </c>
      <c r="C31" s="120"/>
      <c r="D31" s="120"/>
      <c r="E31" s="174">
        <f>SUM(E23:E30)</f>
        <v>0</v>
      </c>
      <c r="F31" s="174">
        <f t="shared" ref="F31:X31" si="4">SUM(F23:F30)</f>
        <v>516666666.66666669</v>
      </c>
      <c r="G31" s="174">
        <f t="shared" si="4"/>
        <v>1033333333.3333334</v>
      </c>
      <c r="H31" s="174">
        <f t="shared" si="4"/>
        <v>1550000000</v>
      </c>
      <c r="I31" s="174">
        <f t="shared" si="4"/>
        <v>1504000000</v>
      </c>
      <c r="J31" s="174">
        <f t="shared" si="4"/>
        <v>1460240000</v>
      </c>
      <c r="K31" s="174">
        <f t="shared" si="4"/>
        <v>1418590600</v>
      </c>
      <c r="L31" s="174">
        <f t="shared" si="4"/>
        <v>1378930856</v>
      </c>
      <c r="M31" s="174">
        <f t="shared" si="4"/>
        <v>1341147681.9399998</v>
      </c>
      <c r="N31" s="174">
        <f t="shared" si="4"/>
        <v>1305135296.0263999</v>
      </c>
      <c r="O31" s="174">
        <f t="shared" si="4"/>
        <v>1270794708.0535059</v>
      </c>
      <c r="P31" s="174">
        <f t="shared" si="4"/>
        <v>1238033244.5925581</v>
      </c>
      <c r="Q31" s="174">
        <f t="shared" si="4"/>
        <v>1206764109.1636789</v>
      </c>
      <c r="R31" s="174">
        <f t="shared" si="4"/>
        <v>1176905974.730032</v>
      </c>
      <c r="S31" s="174">
        <f t="shared" si="4"/>
        <v>1148382606.0597987</v>
      </c>
      <c r="T31" s="174">
        <f t="shared" si="4"/>
        <v>1121122509.6917024</v>
      </c>
      <c r="U31" s="174">
        <f t="shared" si="4"/>
        <v>1095058609.4150333</v>
      </c>
      <c r="V31" s="174">
        <f t="shared" si="4"/>
        <v>1070127945.3366069</v>
      </c>
      <c r="W31" s="174">
        <f t="shared" si="4"/>
        <v>1046271394.7559322</v>
      </c>
      <c r="X31" s="174">
        <f t="shared" si="4"/>
        <v>1023433413.2070599</v>
      </c>
    </row>
    <row r="32" spans="1:24" ht="18" customHeight="1">
      <c r="A32" s="37"/>
      <c r="B32" s="38"/>
      <c r="C32" s="71"/>
      <c r="D32" s="10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1:24" s="15" customFormat="1" ht="18" customHeight="1">
      <c r="A33" s="115"/>
      <c r="B33" s="116" t="s">
        <v>116</v>
      </c>
      <c r="C33" s="117"/>
      <c r="D33" s="118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1:24" ht="18" customHeight="1" outlineLevel="1">
      <c r="A34" s="37"/>
      <c r="B34" s="308" t="s">
        <v>92</v>
      </c>
      <c r="C34" s="71"/>
      <c r="D34" s="71"/>
      <c r="E34" s="142"/>
      <c r="F34" s="142"/>
      <c r="G34" s="142"/>
      <c r="H34" s="142"/>
      <c r="I34" s="138"/>
      <c r="J34" s="164" t="s">
        <v>117</v>
      </c>
      <c r="K34" s="142"/>
      <c r="L34" s="142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</row>
    <row r="35" spans="1:24" ht="18" customHeight="1" outlineLevel="1">
      <c r="A35" s="37"/>
      <c r="B35" s="4" t="s">
        <v>118</v>
      </c>
      <c r="C35" s="4"/>
      <c r="D35" s="4"/>
      <c r="E35" s="239">
        <v>0</v>
      </c>
      <c r="F35" s="239">
        <f t="shared" ref="F35:X35" si="5">E38</f>
        <v>500000000</v>
      </c>
      <c r="G35" s="239">
        <f t="shared" si="5"/>
        <v>1000000000</v>
      </c>
      <c r="H35" s="239">
        <f t="shared" si="5"/>
        <v>1500000000</v>
      </c>
      <c r="I35" s="239">
        <f t="shared" si="5"/>
        <v>1315770272.330744</v>
      </c>
      <c r="J35" s="239">
        <f t="shared" si="5"/>
        <v>1122329058.2780252</v>
      </c>
      <c r="K35" s="239">
        <f t="shared" si="5"/>
        <v>919215783.52267027</v>
      </c>
      <c r="L35" s="239">
        <f t="shared" si="5"/>
        <v>705946845.02954769</v>
      </c>
      <c r="M35" s="239">
        <f t="shared" si="5"/>
        <v>482014459.61176896</v>
      </c>
      <c r="N35" s="239">
        <f t="shared" si="5"/>
        <v>246885454.92310131</v>
      </c>
      <c r="O35" s="239">
        <f t="shared" si="5"/>
        <v>0</v>
      </c>
      <c r="P35" s="239">
        <f t="shared" si="5"/>
        <v>0</v>
      </c>
      <c r="Q35" s="239">
        <f t="shared" si="5"/>
        <v>0</v>
      </c>
      <c r="R35" s="239">
        <f t="shared" si="5"/>
        <v>0</v>
      </c>
      <c r="S35" s="239">
        <f t="shared" si="5"/>
        <v>0</v>
      </c>
      <c r="T35" s="239">
        <f t="shared" si="5"/>
        <v>0</v>
      </c>
      <c r="U35" s="239">
        <f t="shared" si="5"/>
        <v>0</v>
      </c>
      <c r="V35" s="239">
        <f t="shared" si="5"/>
        <v>0</v>
      </c>
      <c r="W35" s="239">
        <f t="shared" si="5"/>
        <v>0</v>
      </c>
      <c r="X35" s="239">
        <f t="shared" si="5"/>
        <v>0</v>
      </c>
    </row>
    <row r="36" spans="1:24" ht="18" customHeight="1" outlineLevel="1">
      <c r="A36" s="37"/>
      <c r="B36" s="193" t="s">
        <v>119</v>
      </c>
      <c r="C36" s="71"/>
      <c r="D36" s="71"/>
      <c r="E36" s="155">
        <f>IF(OR(E$2&lt;'Control Panel'!$C56,E$2&gt;'Control Panel'!$C57),0,'Control Panel'!$C$55/'Control Panel'!$C$58)</f>
        <v>500000000</v>
      </c>
      <c r="F36" s="155">
        <f>IF(OR(F$2&lt;'Control Panel'!$C56,F$2&gt;'Control Panel'!$C57),0,'Control Panel'!$C$55/'Control Panel'!$C$58)</f>
        <v>500000000</v>
      </c>
      <c r="G36" s="155">
        <f>IF(OR(G$2&lt;'Control Panel'!$C56,G$2&gt;'Control Panel'!$C57),0,'Control Panel'!$C$55/'Control Panel'!$C$58)</f>
        <v>500000000</v>
      </c>
      <c r="H36" s="155">
        <f>IF(OR(H$2&lt;'Control Panel'!$C56,H$2&gt;'Control Panel'!$C57),0,'Control Panel'!$C$55/'Control Panel'!$C$58)</f>
        <v>0</v>
      </c>
      <c r="I36" s="155">
        <f>IF(OR(I$2&lt;'Control Panel'!$C56,I$2&gt;'Control Panel'!$C57),0,'Control Panel'!$C$55/'Control Panel'!$C$58)</f>
        <v>0</v>
      </c>
      <c r="J36" s="155">
        <f>IF(OR(J$2&lt;'Control Panel'!$C56,J$2&gt;'Control Panel'!$C57),0,'Control Panel'!$C$55/'Control Panel'!$C$58)</f>
        <v>0</v>
      </c>
      <c r="K36" s="155">
        <f>IF(OR(K$2&lt;'Control Panel'!$C56,K$2&gt;'Control Panel'!$C57),0,'Control Panel'!$C$55/'Control Panel'!$C$58)</f>
        <v>0</v>
      </c>
      <c r="L36" s="155">
        <f>IF(OR(L$2&lt;'Control Panel'!$C56,L$2&gt;'Control Panel'!$C57),0,'Control Panel'!$C$55/'Control Panel'!$C$58)</f>
        <v>0</v>
      </c>
      <c r="M36" s="155">
        <f>IF(OR(M$2&lt;'Control Panel'!$C56,M$2&gt;'Control Panel'!$C57),0,'Control Panel'!$C$55/'Control Panel'!$C$58)</f>
        <v>0</v>
      </c>
      <c r="N36" s="155">
        <f>IF(OR(N$2&lt;'Control Panel'!$C56,N$2&gt;'Control Panel'!$C57),0,'Control Panel'!$C$55/'Control Panel'!$C$58)</f>
        <v>0</v>
      </c>
      <c r="O36" s="155">
        <f>IF(OR(O$2&lt;'Control Panel'!$C56,O$2&gt;'Control Panel'!$C57),0,'Control Panel'!$C$55/'Control Panel'!$C$58)</f>
        <v>0</v>
      </c>
      <c r="P36" s="155">
        <f>IF(OR(P$2&lt;'Control Panel'!$C56,P$2&gt;'Control Panel'!$C57),0,'Control Panel'!$C$55/'Control Panel'!$C$58)</f>
        <v>0</v>
      </c>
      <c r="Q36" s="155">
        <f>IF(OR(Q$2&lt;'Control Panel'!$C56,Q$2&gt;'Control Panel'!$C57),0,'Control Panel'!$C$55/'Control Panel'!$C$58)</f>
        <v>0</v>
      </c>
      <c r="R36" s="155">
        <f>IF(OR(R$2&lt;'Control Panel'!$C56,R$2&gt;'Control Panel'!$C57),0,'Control Panel'!$C$55/'Control Panel'!$C$58)</f>
        <v>0</v>
      </c>
      <c r="S36" s="155">
        <f>IF(OR(S$2&lt;'Control Panel'!$C56,S$2&gt;'Control Panel'!$C57),0,'Control Panel'!$C$55/'Control Panel'!$C$58)</f>
        <v>0</v>
      </c>
      <c r="T36" s="155">
        <f>IF(OR(T$2&lt;'Control Panel'!$C56,T$2&gt;'Control Panel'!$C57),0,'Control Panel'!$C$55/'Control Panel'!$C$58)</f>
        <v>0</v>
      </c>
      <c r="U36" s="155">
        <f>IF(OR(U$2&lt;'Control Panel'!$C56,U$2&gt;'Control Panel'!$C57),0,'Control Panel'!$C$55/'Control Panel'!$C$58)</f>
        <v>0</v>
      </c>
      <c r="V36" s="155">
        <f>IF(OR(V$2&lt;'Control Panel'!$C56,V$2&gt;'Control Panel'!$C57),0,'Control Panel'!$C$55/'Control Panel'!$C$58)</f>
        <v>0</v>
      </c>
      <c r="W36" s="155">
        <f>IF(OR(W$2&lt;'Control Panel'!$C56,W$2&gt;'Control Panel'!$C57),0,'Control Panel'!$C$55/'Control Panel'!$C$58)</f>
        <v>0</v>
      </c>
      <c r="X36" s="155">
        <f>IF(OR(X$2&lt;'Control Panel'!$C56,X$2&gt;'Control Panel'!$C57),0,'Control Panel'!$C$55/'Control Panel'!$C$58)</f>
        <v>0</v>
      </c>
    </row>
    <row r="37" spans="1:24" ht="18" customHeight="1" outlineLevel="1">
      <c r="A37" s="37"/>
      <c r="B37" s="193" t="s">
        <v>120</v>
      </c>
      <c r="C37" s="71"/>
      <c r="D37" s="71"/>
      <c r="E37" s="166">
        <f>IF('Control Panel'!$C$54="Bullet",IF(E$2='Control Panel'!$C$52,'Control Panel'!$C$55,0),-IF(OR(E$2&lt;'Control Panel'!$C$53,E$2&gt;'Control Panel'!$C$52),0,PPMT('Control Panel'!$C$51,E$2-'Control Panel'!$C$53+1,'Control Panel'!$C$52-'Control Panel'!$C$53+1,'Control Panel'!$C$55)))</f>
        <v>0</v>
      </c>
      <c r="F37" s="166">
        <f>IF('Control Panel'!$C$54="Bullet",IF(F$2='Control Panel'!$C$52,'Control Panel'!$C$55,0),-IF(OR(F$2&lt;'Control Panel'!$C$53,F$2&gt;'Control Panel'!$C$52),0,PPMT('Control Panel'!$C$51,F$2-'Control Panel'!$C$53+1,'Control Panel'!$C$52-'Control Panel'!$C$53+1,'Control Panel'!$C$55)))</f>
        <v>0</v>
      </c>
      <c r="G37" s="166">
        <f>IF('Control Panel'!$C$54="Bullet",IF(G$2='Control Panel'!$C$52,'Control Panel'!$C$55,0),-IF(OR(G$2&lt;'Control Panel'!$C$53,G$2&gt;'Control Panel'!$C$52),0,PPMT('Control Panel'!$C$51,G$2-'Control Panel'!$C$53+1,'Control Panel'!$C$52-'Control Panel'!$C$53+1,'Control Panel'!$C$55)))</f>
        <v>0</v>
      </c>
      <c r="H37" s="166">
        <f>IF('Control Panel'!$C$54="Bullet",IF(H$2='Control Panel'!$C$52,'Control Panel'!$C$55,0),-IF(OR(H$2&lt;'Control Panel'!$C$53,H$2&gt;'Control Panel'!$C$52),0,PPMT('Control Panel'!$C$51,H$2-'Control Panel'!$C$53+1,'Control Panel'!$C$52-'Control Panel'!$C$53+1,'Control Panel'!$C$55)))</f>
        <v>184229727.66925606</v>
      </c>
      <c r="I37" s="166">
        <f>IF('Control Panel'!$C$54="Bullet",IF(I$2='Control Panel'!$C$52,'Control Panel'!$C$55,0),-IF(OR(I$2&lt;'Control Panel'!$C$53,I$2&gt;'Control Panel'!$C$52),0,PPMT('Control Panel'!$C$51,I$2-'Control Panel'!$C$53+1,'Control Panel'!$C$52-'Control Panel'!$C$53+1,'Control Panel'!$C$55)))</f>
        <v>193441214.05271888</v>
      </c>
      <c r="J37" s="166">
        <f>IF('Control Panel'!$C$54="Bullet",IF(J$2='Control Panel'!$C$52,'Control Panel'!$C$55,0),-IF(OR(J$2&lt;'Control Panel'!$C$53,J$2&gt;'Control Panel'!$C$52),0,PPMT('Control Panel'!$C$51,J$2-'Control Panel'!$C$53+1,'Control Panel'!$C$52-'Control Panel'!$C$53+1,'Control Panel'!$C$55)))</f>
        <v>203113274.75535482</v>
      </c>
      <c r="K37" s="166">
        <f>IF('Control Panel'!$C$54="Bullet",IF(K$2='Control Panel'!$C$52,'Control Panel'!$C$55,0),-IF(OR(K$2&lt;'Control Panel'!$C$53,K$2&gt;'Control Panel'!$C$52),0,PPMT('Control Panel'!$C$51,K$2-'Control Panel'!$C$53+1,'Control Panel'!$C$52-'Control Panel'!$C$53+1,'Control Panel'!$C$55)))</f>
        <v>213268938.49312258</v>
      </c>
      <c r="L37" s="166">
        <f>IF('Control Panel'!$C$54="Bullet",IF(L$2='Control Panel'!$C$52,'Control Panel'!$C$55,0),-IF(OR(L$2&lt;'Control Panel'!$C$53,L$2&gt;'Control Panel'!$C$52),0,PPMT('Control Panel'!$C$51,L$2-'Control Panel'!$C$53+1,'Control Panel'!$C$52-'Control Panel'!$C$53+1,'Control Panel'!$C$55)))</f>
        <v>223932385.4177787</v>
      </c>
      <c r="M37" s="166">
        <f>IF('Control Panel'!$C$54="Bullet",IF(M$2='Control Panel'!$C$52,'Control Panel'!$C$55,0),-IF(OR(M$2&lt;'Control Panel'!$C$53,M$2&gt;'Control Panel'!$C$52),0,PPMT('Control Panel'!$C$51,M$2-'Control Panel'!$C$53+1,'Control Panel'!$C$52-'Control Panel'!$C$53+1,'Control Panel'!$C$55)))</f>
        <v>235129004.68866765</v>
      </c>
      <c r="N37" s="166">
        <f>IF('Control Panel'!$C$54="Bullet",IF(N$2='Control Panel'!$C$52,'Control Panel'!$C$55,0),-IF(OR(N$2&lt;'Control Panel'!$C$53,N$2&gt;'Control Panel'!$C$52),0,PPMT('Control Panel'!$C$51,N$2-'Control Panel'!$C$53+1,'Control Panel'!$C$52-'Control Panel'!$C$53+1,'Control Panel'!$C$55)))</f>
        <v>246885454.92310101</v>
      </c>
      <c r="O37" s="166">
        <f>IF('Control Panel'!$C$54="Bullet",IF(O$2='Control Panel'!$C$52,'Control Panel'!$C$55,0),-IF(OR(O$2&lt;'Control Panel'!$C$53,O$2&gt;'Control Panel'!$C$52),0,PPMT('Control Panel'!$C$51,O$2-'Control Panel'!$C$53+1,'Control Panel'!$C$52-'Control Panel'!$C$53+1,'Control Panel'!$C$55)))</f>
        <v>0</v>
      </c>
      <c r="P37" s="166">
        <f>IF('Control Panel'!$C$54="Bullet",IF(P$2='Control Panel'!$C$52,'Control Panel'!$C$55,0),-IF(OR(P$2&lt;'Control Panel'!$C$53,P$2&gt;'Control Panel'!$C$52),0,PPMT('Control Panel'!$C$51,P$2-'Control Panel'!$C$53+1,'Control Panel'!$C$52-'Control Panel'!$C$53+1,'Control Panel'!$C$55)))</f>
        <v>0</v>
      </c>
      <c r="Q37" s="166">
        <f>IF('Control Panel'!$C$54="Bullet",IF(Q$2='Control Panel'!$C$52,'Control Panel'!$C$55,0),-IF(OR(Q$2&lt;'Control Panel'!$C$53,Q$2&gt;'Control Panel'!$C$52),0,PPMT('Control Panel'!$C$51,Q$2-'Control Panel'!$C$53+1,'Control Panel'!$C$52-'Control Panel'!$C$53+1,'Control Panel'!$C$55)))</f>
        <v>0</v>
      </c>
      <c r="R37" s="166">
        <f>IF('Control Panel'!$C$54="Bullet",IF(R$2='Control Panel'!$C$52,'Control Panel'!$C$55,0),-IF(OR(R$2&lt;'Control Panel'!$C$53,R$2&gt;'Control Panel'!$C$52),0,PPMT('Control Panel'!$C$51,R$2-'Control Panel'!$C$53+1,'Control Panel'!$C$52-'Control Panel'!$C$53+1,'Control Panel'!$C$55)))</f>
        <v>0</v>
      </c>
      <c r="S37" s="166">
        <f>IF('Control Panel'!$C$54="Bullet",IF(S$2='Control Panel'!$C$52,'Control Panel'!$C$55,0),-IF(OR(S$2&lt;'Control Panel'!$C$53,S$2&gt;'Control Panel'!$C$52),0,PPMT('Control Panel'!$C$51,S$2-'Control Panel'!$C$53+1,'Control Panel'!$C$52-'Control Panel'!$C$53+1,'Control Panel'!$C$55)))</f>
        <v>0</v>
      </c>
      <c r="T37" s="166">
        <f>IF('Control Panel'!$C$54="Bullet",IF(T$2='Control Panel'!$C$52,'Control Panel'!$C$55,0),-IF(OR(T$2&lt;'Control Panel'!$C$53,T$2&gt;'Control Panel'!$C$52),0,PPMT('Control Panel'!$C$51,T$2-'Control Panel'!$C$53+1,'Control Panel'!$C$52-'Control Panel'!$C$53+1,'Control Panel'!$C$55)))</f>
        <v>0</v>
      </c>
      <c r="U37" s="166">
        <f>IF('Control Panel'!$C$54="Bullet",IF(U$2='Control Panel'!$C$52,'Control Panel'!$C$55,0),-IF(OR(U$2&lt;'Control Panel'!$C$53,U$2&gt;'Control Panel'!$C$52),0,PPMT('Control Panel'!$C$51,U$2-'Control Panel'!$C$53+1,'Control Panel'!$C$52-'Control Panel'!$C$53+1,'Control Panel'!$C$55)))</f>
        <v>0</v>
      </c>
      <c r="V37" s="166">
        <f>IF('Control Panel'!$C$54="Bullet",IF(V$2='Control Panel'!$C$52,'Control Panel'!$C$55,0),-IF(OR(V$2&lt;'Control Panel'!$C$53,V$2&gt;'Control Panel'!$C$52),0,PPMT('Control Panel'!$C$51,V$2-'Control Panel'!$C$53+1,'Control Panel'!$C$52-'Control Panel'!$C$53+1,'Control Panel'!$C$55)))</f>
        <v>0</v>
      </c>
      <c r="W37" s="166">
        <f>IF('Control Panel'!$C$54="Bullet",IF(W$2='Control Panel'!$C$52,'Control Panel'!$C$55,0),-IF(OR(W$2&lt;'Control Panel'!$C$53,W$2&gt;'Control Panel'!$C$52),0,PPMT('Control Panel'!$C$51,W$2-'Control Panel'!$C$53+1,'Control Panel'!$C$52-'Control Panel'!$C$53+1,'Control Panel'!$C$55)))</f>
        <v>0</v>
      </c>
      <c r="X37" s="166">
        <f>IF('Control Panel'!$C$54="Bullet",IF(X$2='Control Panel'!$C$52,'Control Panel'!$C$55,0),-IF(OR(X$2&lt;'Control Panel'!$C$53,X$2&gt;'Control Panel'!$C$52),0,PPMT('Control Panel'!$C$51,X$2-'Control Panel'!$C$53+1,'Control Panel'!$C$52-'Control Panel'!$C$53+1,'Control Panel'!$C$55)))</f>
        <v>0</v>
      </c>
    </row>
    <row r="38" spans="1:24" ht="18" customHeight="1" outlineLevel="1">
      <c r="A38" s="37"/>
      <c r="B38" s="119" t="s">
        <v>121</v>
      </c>
      <c r="C38" s="194"/>
      <c r="D38" s="194"/>
      <c r="E38" s="195">
        <f t="shared" ref="E38:X38" si="6">IF(ABS(E35+E36-E37)&lt;1,0,E35+E36-E37)</f>
        <v>500000000</v>
      </c>
      <c r="F38" s="195">
        <f t="shared" si="6"/>
        <v>1000000000</v>
      </c>
      <c r="G38" s="195">
        <f t="shared" si="6"/>
        <v>1500000000</v>
      </c>
      <c r="H38" s="195">
        <f t="shared" si="6"/>
        <v>1315770272.330744</v>
      </c>
      <c r="I38" s="195">
        <f t="shared" si="6"/>
        <v>1122329058.2780252</v>
      </c>
      <c r="J38" s="195">
        <f t="shared" si="6"/>
        <v>919215783.52267027</v>
      </c>
      <c r="K38" s="195">
        <f t="shared" si="6"/>
        <v>705946845.02954769</v>
      </c>
      <c r="L38" s="195">
        <f t="shared" si="6"/>
        <v>482014459.61176896</v>
      </c>
      <c r="M38" s="195">
        <f t="shared" si="6"/>
        <v>246885454.92310131</v>
      </c>
      <c r="N38" s="195">
        <f t="shared" si="6"/>
        <v>0</v>
      </c>
      <c r="O38" s="195">
        <f t="shared" si="6"/>
        <v>0</v>
      </c>
      <c r="P38" s="195">
        <f t="shared" si="6"/>
        <v>0</v>
      </c>
      <c r="Q38" s="195">
        <f t="shared" si="6"/>
        <v>0</v>
      </c>
      <c r="R38" s="195">
        <f t="shared" si="6"/>
        <v>0</v>
      </c>
      <c r="S38" s="195">
        <f t="shared" si="6"/>
        <v>0</v>
      </c>
      <c r="T38" s="195">
        <f t="shared" si="6"/>
        <v>0</v>
      </c>
      <c r="U38" s="195">
        <f t="shared" si="6"/>
        <v>0</v>
      </c>
      <c r="V38" s="195">
        <f t="shared" si="6"/>
        <v>0</v>
      </c>
      <c r="W38" s="195">
        <f t="shared" si="6"/>
        <v>0</v>
      </c>
      <c r="X38" s="195">
        <f t="shared" si="6"/>
        <v>0</v>
      </c>
    </row>
    <row r="39" spans="1:24" ht="18" customHeight="1" outlineLevel="1">
      <c r="A39" s="37"/>
      <c r="B39" s="71"/>
      <c r="C39" s="71"/>
      <c r="D39" s="71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</row>
    <row r="40" spans="1:24" ht="18" customHeight="1" outlineLevel="1">
      <c r="A40" s="37"/>
      <c r="B40" s="110" t="s">
        <v>122</v>
      </c>
      <c r="C40" s="36"/>
      <c r="D40" s="36"/>
      <c r="E40" s="165">
        <f>(E35+E38)/2*'Control Panel'!$C$51</f>
        <v>12500000</v>
      </c>
      <c r="F40" s="165">
        <f>(F35+F38)/2*'Control Panel'!$C$51</f>
        <v>37500000</v>
      </c>
      <c r="G40" s="165">
        <f>(G35+G38)/2*'Control Panel'!$C$51</f>
        <v>62500000</v>
      </c>
      <c r="H40" s="165">
        <f>(H35+H38)/2*'Control Panel'!$C$51</f>
        <v>70394256.808268592</v>
      </c>
      <c r="I40" s="165">
        <f>(I35+I38)/2*'Control Panel'!$C$51</f>
        <v>60952483.265219241</v>
      </c>
      <c r="J40" s="165">
        <f>(J35+J38)/2*'Control Panel'!$C$51</f>
        <v>51038621.045017391</v>
      </c>
      <c r="K40" s="165">
        <f>(K35+K38)/2*'Control Panel'!$C$51</f>
        <v>40629065.713805452</v>
      </c>
      <c r="L40" s="165">
        <f>(L35+L38)/2*'Control Panel'!$C$51</f>
        <v>29699032.616032917</v>
      </c>
      <c r="M40" s="165">
        <f>(M35+M38)/2*'Control Panel'!$C$51</f>
        <v>18222497.863371756</v>
      </c>
      <c r="N40" s="165">
        <f>(N35+N38)/2*'Control Panel'!$C$51</f>
        <v>6172136.3730775332</v>
      </c>
      <c r="O40" s="165">
        <f>(O35+O38)/2*'Control Panel'!$C$51</f>
        <v>0</v>
      </c>
      <c r="P40" s="165">
        <f>(P35+P38)/2*'Control Panel'!$C$51</f>
        <v>0</v>
      </c>
      <c r="Q40" s="165">
        <f>(Q35+Q38)/2*'Control Panel'!$C$51</f>
        <v>0</v>
      </c>
      <c r="R40" s="165">
        <f>(R35+R38)/2*'Control Panel'!$C$51</f>
        <v>0</v>
      </c>
      <c r="S40" s="165">
        <f>(S35+S38)/2*'Control Panel'!$C$51</f>
        <v>0</v>
      </c>
      <c r="T40" s="165">
        <f>(T35+T38)/2*'Control Panel'!$C$51</f>
        <v>0</v>
      </c>
      <c r="U40" s="165">
        <f>(U35+U38)/2*'Control Panel'!$C$51</f>
        <v>0</v>
      </c>
      <c r="V40" s="165">
        <f>(V35+V38)/2*'Control Panel'!$C$51</f>
        <v>0</v>
      </c>
      <c r="W40" s="165">
        <f>(W35+W38)/2*'Control Panel'!$C$51</f>
        <v>0</v>
      </c>
      <c r="X40" s="165">
        <f>(X35+X38)/2*'Control Panel'!$C$51</f>
        <v>0</v>
      </c>
    </row>
    <row r="41" spans="1:24" ht="18" customHeight="1" outlineLevel="1">
      <c r="A41" s="37"/>
      <c r="B41" s="308" t="s">
        <v>123</v>
      </c>
      <c r="C41" s="4"/>
      <c r="D41" s="4"/>
      <c r="E41" s="239">
        <f t="shared" ref="E41:X41" si="7">SUM(E37:E37)</f>
        <v>0</v>
      </c>
      <c r="F41" s="239">
        <f t="shared" si="7"/>
        <v>0</v>
      </c>
      <c r="G41" s="239">
        <f t="shared" si="7"/>
        <v>0</v>
      </c>
      <c r="H41" s="239">
        <f t="shared" si="7"/>
        <v>184229727.66925606</v>
      </c>
      <c r="I41" s="239">
        <f t="shared" si="7"/>
        <v>193441214.05271888</v>
      </c>
      <c r="J41" s="239">
        <f t="shared" si="7"/>
        <v>203113274.75535482</v>
      </c>
      <c r="K41" s="239">
        <f t="shared" si="7"/>
        <v>213268938.49312258</v>
      </c>
      <c r="L41" s="239">
        <f t="shared" si="7"/>
        <v>223932385.4177787</v>
      </c>
      <c r="M41" s="239">
        <f t="shared" si="7"/>
        <v>235129004.68866765</v>
      </c>
      <c r="N41" s="239">
        <f t="shared" si="7"/>
        <v>246885454.92310101</v>
      </c>
      <c r="O41" s="239">
        <f t="shared" si="7"/>
        <v>0</v>
      </c>
      <c r="P41" s="239">
        <f t="shared" si="7"/>
        <v>0</v>
      </c>
      <c r="Q41" s="239">
        <f t="shared" si="7"/>
        <v>0</v>
      </c>
      <c r="R41" s="239">
        <f t="shared" si="7"/>
        <v>0</v>
      </c>
      <c r="S41" s="239">
        <f t="shared" si="7"/>
        <v>0</v>
      </c>
      <c r="T41" s="239">
        <f t="shared" si="7"/>
        <v>0</v>
      </c>
      <c r="U41" s="239">
        <f t="shared" si="7"/>
        <v>0</v>
      </c>
      <c r="V41" s="239">
        <f t="shared" si="7"/>
        <v>0</v>
      </c>
      <c r="W41" s="239">
        <f t="shared" si="7"/>
        <v>0</v>
      </c>
      <c r="X41" s="239">
        <f t="shared" si="7"/>
        <v>0</v>
      </c>
    </row>
    <row r="42" spans="1:24" ht="18" customHeight="1">
      <c r="A42" s="37"/>
      <c r="B42" s="9"/>
      <c r="C42" s="71"/>
      <c r="D42" s="71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</row>
    <row r="43" spans="1:24" s="15" customFormat="1" ht="18" customHeight="1">
      <c r="A43" s="115"/>
      <c r="B43" s="116" t="s">
        <v>124</v>
      </c>
      <c r="C43" s="117"/>
      <c r="D43" s="118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1:24" ht="18" customHeight="1" outlineLevel="1">
      <c r="A44" s="37"/>
      <c r="B44" s="308" t="s">
        <v>92</v>
      </c>
      <c r="C44" s="71"/>
      <c r="D44" s="71"/>
      <c r="E44" s="142"/>
      <c r="F44" s="142"/>
      <c r="G44" s="142"/>
      <c r="H44" s="142"/>
      <c r="I44" s="138"/>
      <c r="J44" s="164" t="s">
        <v>117</v>
      </c>
      <c r="K44" s="142"/>
      <c r="L44" s="142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</row>
    <row r="45" spans="1:24" ht="18" customHeight="1" outlineLevel="1">
      <c r="A45" s="37"/>
      <c r="B45" s="4" t="s">
        <v>118</v>
      </c>
      <c r="C45" s="4"/>
      <c r="D45" s="4"/>
      <c r="E45" s="239">
        <v>0</v>
      </c>
      <c r="F45" s="239">
        <f t="shared" ref="F45" si="8">E48</f>
        <v>500000000</v>
      </c>
      <c r="G45" s="239">
        <f t="shared" ref="G45" si="9">F48</f>
        <v>1000000000</v>
      </c>
      <c r="H45" s="239">
        <f t="shared" ref="H45" si="10">G48</f>
        <v>1500000000</v>
      </c>
      <c r="I45" s="239">
        <f>H48</f>
        <v>1244315318.149745</v>
      </c>
      <c r="J45" s="239">
        <f>I48</f>
        <v>968175861.75146961</v>
      </c>
      <c r="K45" s="239">
        <f t="shared" ref="K45" si="11">J48</f>
        <v>669945248.8413322</v>
      </c>
      <c r="L45" s="239">
        <f t="shared" ref="L45" si="12">K48</f>
        <v>347856186.89838392</v>
      </c>
      <c r="M45" s="239">
        <f t="shared" ref="M45" si="13">L48</f>
        <v>0</v>
      </c>
      <c r="N45" s="239">
        <f>M48</f>
        <v>0</v>
      </c>
      <c r="O45" s="239">
        <f>N48</f>
        <v>0</v>
      </c>
      <c r="P45" s="239">
        <f>O48</f>
        <v>0</v>
      </c>
      <c r="Q45" s="239">
        <f t="shared" ref="Q45:X45" si="14">P48</f>
        <v>0</v>
      </c>
      <c r="R45" s="239">
        <f t="shared" si="14"/>
        <v>0</v>
      </c>
      <c r="S45" s="239">
        <f t="shared" si="14"/>
        <v>0</v>
      </c>
      <c r="T45" s="239">
        <f t="shared" si="14"/>
        <v>0</v>
      </c>
      <c r="U45" s="239">
        <f t="shared" si="14"/>
        <v>0</v>
      </c>
      <c r="V45" s="239">
        <f t="shared" si="14"/>
        <v>0</v>
      </c>
      <c r="W45" s="239">
        <f t="shared" si="14"/>
        <v>0</v>
      </c>
      <c r="X45" s="239">
        <f t="shared" si="14"/>
        <v>0</v>
      </c>
    </row>
    <row r="46" spans="1:24" ht="18" customHeight="1" outlineLevel="1">
      <c r="A46" s="37"/>
      <c r="B46" s="193" t="s">
        <v>119</v>
      </c>
      <c r="C46" s="71"/>
      <c r="D46" s="71"/>
      <c r="E46" s="155">
        <f>IF(OR(E$2&lt;'Control Panel'!$D56,E$2&gt;'Control Panel'!$D57),0,'Control Panel'!$D$55/'Control Panel'!$D$58)</f>
        <v>500000000</v>
      </c>
      <c r="F46" s="155">
        <f>IF(OR(F$2&lt;'Control Panel'!$D56,F$2&gt;'Control Panel'!$D57),0,'Control Panel'!$D$55/'Control Panel'!$D$58)</f>
        <v>500000000</v>
      </c>
      <c r="G46" s="155">
        <f>IF(OR(G$2&lt;'Control Panel'!$D56,G$2&gt;'Control Panel'!$D57),0,'Control Panel'!$D$55/'Control Panel'!$D$58)</f>
        <v>500000000</v>
      </c>
      <c r="H46" s="155">
        <f>IF(OR(H$2&lt;'Control Panel'!$D56,H$2&gt;'Control Panel'!$D57),0,'Control Panel'!$D$55/'Control Panel'!$D$58)</f>
        <v>0</v>
      </c>
      <c r="I46" s="155">
        <f>IF(OR(I$2&lt;'Control Panel'!$D56,I$2&gt;'Control Panel'!$D57),0,'Control Panel'!$D$55/'Control Panel'!$D$58)</f>
        <v>0</v>
      </c>
      <c r="J46" s="155">
        <f>IF(OR(J$2&lt;'Control Panel'!$D56,J$2&gt;'Control Panel'!$D57),0,'Control Panel'!$D$55/'Control Panel'!$D$58)</f>
        <v>0</v>
      </c>
      <c r="K46" s="155">
        <f>IF(OR(K$2&lt;'Control Panel'!$D56,K$2&gt;'Control Panel'!$D57),0,'Control Panel'!$D$55/'Control Panel'!$D$58)</f>
        <v>0</v>
      </c>
      <c r="L46" s="155">
        <f>IF(OR(L$2&lt;'Control Panel'!$D56,L$2&gt;'Control Panel'!$D57),0,'Control Panel'!$D$55/'Control Panel'!$D$58)</f>
        <v>0</v>
      </c>
      <c r="M46" s="155">
        <f>IF(OR(M$2&lt;'Control Panel'!$D56,M$2&gt;'Control Panel'!$D57),0,'Control Panel'!$D$55/'Control Panel'!$D$58)</f>
        <v>0</v>
      </c>
      <c r="N46" s="155">
        <f>IF(OR(N$2&lt;'Control Panel'!$D56,N$2&gt;'Control Panel'!$D57),0,'Control Panel'!$D$55/'Control Panel'!$D$58)</f>
        <v>0</v>
      </c>
      <c r="O46" s="155">
        <f>IF(OR(O$2&lt;'Control Panel'!$D56,O$2&gt;'Control Panel'!$D57),0,'Control Panel'!$D$55/'Control Panel'!$D$58)</f>
        <v>0</v>
      </c>
      <c r="P46" s="155">
        <f>IF(OR(P$2&lt;'Control Panel'!$D56,P$2&gt;'Control Panel'!$D57),0,'Control Panel'!$D$55/'Control Panel'!$D$58)</f>
        <v>0</v>
      </c>
      <c r="Q46" s="155">
        <f>IF(OR(Q$2&lt;'Control Panel'!$D56,Q$2&gt;'Control Panel'!$D57),0,'Control Panel'!$D$55/'Control Panel'!$D$58)</f>
        <v>0</v>
      </c>
      <c r="R46" s="155">
        <f>IF(OR(R$2&lt;'Control Panel'!$D56,R$2&gt;'Control Panel'!$D57),0,'Control Panel'!$D$55/'Control Panel'!$D$58)</f>
        <v>0</v>
      </c>
      <c r="S46" s="155">
        <f>IF(OR(S$2&lt;'Control Panel'!$D56,S$2&gt;'Control Panel'!$D57),0,'Control Panel'!$D$55/'Control Panel'!$D$58)</f>
        <v>0</v>
      </c>
      <c r="T46" s="155">
        <f>IF(OR(T$2&lt;'Control Panel'!$D56,T$2&gt;'Control Panel'!$D57),0,'Control Panel'!$D$55/'Control Panel'!$D$58)</f>
        <v>0</v>
      </c>
      <c r="U46" s="155">
        <f>IF(OR(U$2&lt;'Control Panel'!$D56,U$2&gt;'Control Panel'!$D57),0,'Control Panel'!$D$55/'Control Panel'!$D$58)</f>
        <v>0</v>
      </c>
      <c r="V46" s="155">
        <f>IF(OR(V$2&lt;'Control Panel'!$D56,V$2&gt;'Control Panel'!$D57),0,'Control Panel'!$D$55/'Control Panel'!$D$58)</f>
        <v>0</v>
      </c>
      <c r="W46" s="155">
        <f>IF(OR(W$2&lt;'Control Panel'!$D56,W$2&gt;'Control Panel'!$D57),0,'Control Panel'!$D$55/'Control Panel'!$D$58)</f>
        <v>0</v>
      </c>
      <c r="X46" s="155">
        <f>IF(OR(X$2&lt;'Control Panel'!$D56,X$2&gt;'Control Panel'!$D57),0,'Control Panel'!$D$55/'Control Panel'!$D$58)</f>
        <v>0</v>
      </c>
    </row>
    <row r="47" spans="1:24" ht="18" customHeight="1" outlineLevel="1">
      <c r="A47" s="37"/>
      <c r="B47" s="193" t="s">
        <v>125</v>
      </c>
      <c r="C47" s="71"/>
      <c r="D47" s="71"/>
      <c r="E47" s="166">
        <f>IF('Control Panel'!$D$54="Bullet",IF(E$2='Control Panel'!$D$52,'Control Panel'!$D$55,0),-IF(OR(E$2&lt;'Control Panel'!$D$53,E$2&gt;'Control Panel'!$D$52),0,PPMT('Control Panel'!$D$51,E$2-'Control Panel'!$D$53+1,'Control Panel'!$D$52-'Control Panel'!$D$53+1,'Control Panel'!$D$55)))</f>
        <v>0</v>
      </c>
      <c r="F47" s="166">
        <f>IF('Control Panel'!$D$54="Bullet",IF(F$2='Control Panel'!$D$52,'Control Panel'!$D$55,0),-IF(OR(F$2&lt;'Control Panel'!$D$53,F$2&gt;'Control Panel'!$D$52),0,PPMT('Control Panel'!$D$51,F$2-'Control Panel'!$D$53+1,'Control Panel'!$D$52-'Control Panel'!$D$53+1,'Control Panel'!$D$55)))</f>
        <v>0</v>
      </c>
      <c r="G47" s="166">
        <f>IF('Control Panel'!$D$54="Bullet",IF(G$2='Control Panel'!$D$52,'Control Panel'!$D$55,0),-IF(OR(G$2&lt;'Control Panel'!$D$53,G$2&gt;'Control Panel'!$D$52),0,PPMT('Control Panel'!$D$51,G$2-'Control Panel'!$D$53+1,'Control Panel'!$D$52-'Control Panel'!$D$53+1,'Control Panel'!$D$55)))</f>
        <v>0</v>
      </c>
      <c r="H47" s="166">
        <f>IF('Control Panel'!$D$54="Bullet",IF(H$2='Control Panel'!$D$52,'Control Panel'!$D$55,0),-IF(OR(H$2&lt;'Control Panel'!$D$53,H$2&gt;'Control Panel'!$D$52),0,PPMT('Control Panel'!$D$51,H$2-'Control Panel'!$D$53+1,'Control Panel'!$D$52-'Control Panel'!$D$53+1,'Control Panel'!$D$55)))</f>
        <v>255684681.85025489</v>
      </c>
      <c r="I47" s="166">
        <f>IF('Control Panel'!$D$54="Bullet",IF(I$2='Control Panel'!$D$52,'Control Panel'!$D$55,0),-IF(OR(I$2&lt;'Control Panel'!$D$53,I$2&gt;'Control Panel'!$D$52),0,PPMT('Control Panel'!$D$51,I$2-'Control Panel'!$D$53+1,'Control Panel'!$D$52-'Control Panel'!$D$53+1,'Control Panel'!$D$55)))</f>
        <v>276139456.39827532</v>
      </c>
      <c r="J47" s="166">
        <f>IF('Control Panel'!$D$54="Bullet",IF(J$2='Control Panel'!$D$52,'Control Panel'!$D$55,0),-IF(OR(J$2&lt;'Control Panel'!$D$53,J$2&gt;'Control Panel'!$D$52),0,PPMT('Control Panel'!$D$51,J$2-'Control Panel'!$D$53+1,'Control Panel'!$D$52-'Control Panel'!$D$53+1,'Control Panel'!$D$55)))</f>
        <v>298230612.91013736</v>
      </c>
      <c r="K47" s="166">
        <f>IF('Control Panel'!$D$54="Bullet",IF(K$2='Control Panel'!$D$52,'Control Panel'!$D$55,0),-IF(OR(K$2&lt;'Control Panel'!$D$53,K$2&gt;'Control Panel'!$D$52),0,PPMT('Control Panel'!$D$51,K$2-'Control Panel'!$D$53+1,'Control Panel'!$D$52-'Control Panel'!$D$53+1,'Control Panel'!$D$55)))</f>
        <v>322089061.94294828</v>
      </c>
      <c r="L47" s="166">
        <f>IF('Control Panel'!$D$54="Bullet",IF(L$2='Control Panel'!$D$52,'Control Panel'!$D$55,0),-IF(OR(L$2&lt;'Control Panel'!$D$53,L$2&gt;'Control Panel'!$D$52),0,PPMT('Control Panel'!$D$51,L$2-'Control Panel'!$D$53+1,'Control Panel'!$D$52-'Control Panel'!$D$53+1,'Control Panel'!$D$55)))</f>
        <v>347856186.89838415</v>
      </c>
      <c r="M47" s="166">
        <f>IF('Control Panel'!$D$54="Bullet",IF(M$2='Control Panel'!$D$52,'Control Panel'!$D$55,0),-IF(OR(M$2&lt;'Control Panel'!$D$53,M$2&gt;'Control Panel'!$D$52),0,PPMT('Control Panel'!$D$51,M$2-'Control Panel'!$D$53+1,'Control Panel'!$D$52-'Control Panel'!$D$53+1,'Control Panel'!$D$55)))</f>
        <v>0</v>
      </c>
      <c r="N47" s="166">
        <f>IF('Control Panel'!$D$54="Bullet",IF(N$2='Control Panel'!$D$52,'Control Panel'!$D$55,0),-IF(OR(N$2&lt;'Control Panel'!$D$53,N$2&gt;'Control Panel'!$D$52),0,PPMT('Control Panel'!$D$51,N$2-'Control Panel'!$D$53+1,'Control Panel'!$D$52-'Control Panel'!$D$53+1,'Control Panel'!$D$55)))</f>
        <v>0</v>
      </c>
      <c r="O47" s="166">
        <f>IF('Control Panel'!$D$54="Bullet",IF(O$2='Control Panel'!$D$52,'Control Panel'!$D$55,0),-IF(OR(O$2&lt;'Control Panel'!$D$53,O$2&gt;'Control Panel'!$D$52),0,PPMT('Control Panel'!$D$51,O$2-'Control Panel'!$D$53+1,'Control Panel'!$D$52-'Control Panel'!$D$53+1,'Control Panel'!$D$55)))</f>
        <v>0</v>
      </c>
      <c r="P47" s="166">
        <f>IF('Control Panel'!$D$54="Bullet",IF(P$2='Control Panel'!$D$52,'Control Panel'!$D$55,0),-IF(OR(P$2&lt;'Control Panel'!$D$53,P$2&gt;'Control Panel'!$D$52),0,PPMT('Control Panel'!$D$51,P$2-'Control Panel'!$D$53+1,'Control Panel'!$D$52-'Control Panel'!$D$53+1,'Control Panel'!$D$55)))</f>
        <v>0</v>
      </c>
      <c r="Q47" s="166">
        <f>IF('Control Panel'!$D$54="Bullet",IF(Q$2='Control Panel'!$D$52,'Control Panel'!$D$55,0),-IF(OR(Q$2&lt;'Control Panel'!$D$53,Q$2&gt;'Control Panel'!$D$52),0,PPMT('Control Panel'!$D$51,Q$2-'Control Panel'!$D$53+1,'Control Panel'!$D$52-'Control Panel'!$D$53+1,'Control Panel'!$D$55)))</f>
        <v>0</v>
      </c>
      <c r="R47" s="166">
        <f>IF('Control Panel'!$D$54="Bullet",IF(R$2='Control Panel'!$D$52,'Control Panel'!$D$55,0),-IF(OR(R$2&lt;'Control Panel'!$D$53,R$2&gt;'Control Panel'!$D$52),0,PPMT('Control Panel'!$D$51,R$2-'Control Panel'!$D$53+1,'Control Panel'!$D$52-'Control Panel'!$D$53+1,'Control Panel'!$D$55)))</f>
        <v>0</v>
      </c>
      <c r="S47" s="166">
        <f>IF('Control Panel'!$D$54="Bullet",IF(S$2='Control Panel'!$D$52,'Control Panel'!$D$55,0),-IF(OR(S$2&lt;'Control Panel'!$D$53,S$2&gt;'Control Panel'!$D$52),0,PPMT('Control Panel'!$D$51,S$2-'Control Panel'!$D$53+1,'Control Panel'!$D$52-'Control Panel'!$D$53+1,'Control Panel'!$D$55)))</f>
        <v>0</v>
      </c>
      <c r="T47" s="166">
        <f>IF('Control Panel'!$D$54="Bullet",IF(T$2='Control Panel'!$D$52,'Control Panel'!$D$55,0),-IF(OR(T$2&lt;'Control Panel'!$D$53,T$2&gt;'Control Panel'!$D$52),0,PPMT('Control Panel'!$D$51,T$2-'Control Panel'!$D$53+1,'Control Panel'!$D$52-'Control Panel'!$D$53+1,'Control Panel'!$D$55)))</f>
        <v>0</v>
      </c>
      <c r="U47" s="166">
        <f>IF('Control Panel'!$D$54="Bullet",IF(U$2='Control Panel'!$D$52,'Control Panel'!$D$55,0),-IF(OR(U$2&lt;'Control Panel'!$D$53,U$2&gt;'Control Panel'!$D$52),0,PPMT('Control Panel'!$D$51,U$2-'Control Panel'!$D$53+1,'Control Panel'!$D$52-'Control Panel'!$D$53+1,'Control Panel'!$D$55)))</f>
        <v>0</v>
      </c>
      <c r="V47" s="166">
        <f>IF('Control Panel'!$D$54="Bullet",IF(V$2='Control Panel'!$D$52,'Control Panel'!$D$55,0),-IF(OR(V$2&lt;'Control Panel'!$D$53,V$2&gt;'Control Panel'!$D$52),0,PPMT('Control Panel'!$D$51,V$2-'Control Panel'!$D$53+1,'Control Panel'!$D$52-'Control Panel'!$D$53+1,'Control Panel'!$D$55)))</f>
        <v>0</v>
      </c>
      <c r="W47" s="166">
        <f>IF('Control Panel'!$D$54="Bullet",IF(W$2='Control Panel'!$D$52,'Control Panel'!$D$55,0),-IF(OR(W$2&lt;'Control Panel'!$D$53,W$2&gt;'Control Panel'!$D$52),0,PPMT('Control Panel'!$D$51,W$2-'Control Panel'!$D$53+1,'Control Panel'!$D$52-'Control Panel'!$D$53+1,'Control Panel'!$D$55)))</f>
        <v>0</v>
      </c>
      <c r="X47" s="166">
        <f>IF('Control Panel'!$D$54="Bullet",IF(X$2='Control Panel'!$D$52,'Control Panel'!$D$55,0),-IF(OR(X$2&lt;'Control Panel'!$D$53,X$2&gt;'Control Panel'!$D$52),0,PPMT('Control Panel'!$D$51,X$2-'Control Panel'!$D$53+1,'Control Panel'!$D$52-'Control Panel'!$D$53+1,'Control Panel'!$D$55)))</f>
        <v>0</v>
      </c>
    </row>
    <row r="48" spans="1:24" ht="18" customHeight="1" outlineLevel="1">
      <c r="A48" s="37"/>
      <c r="B48" s="119" t="s">
        <v>121</v>
      </c>
      <c r="C48" s="194"/>
      <c r="D48" s="194"/>
      <c r="E48" s="195">
        <f t="shared" ref="E48:X48" si="15">IF(ABS(E45+E46-E47)&lt;1,0,E45+E46-E47)</f>
        <v>500000000</v>
      </c>
      <c r="F48" s="195">
        <f t="shared" si="15"/>
        <v>1000000000</v>
      </c>
      <c r="G48" s="195">
        <f t="shared" si="15"/>
        <v>1500000000</v>
      </c>
      <c r="H48" s="195">
        <f t="shared" si="15"/>
        <v>1244315318.149745</v>
      </c>
      <c r="I48" s="195">
        <f t="shared" si="15"/>
        <v>968175861.75146961</v>
      </c>
      <c r="J48" s="195">
        <f t="shared" si="15"/>
        <v>669945248.8413322</v>
      </c>
      <c r="K48" s="195">
        <f t="shared" si="15"/>
        <v>347856186.89838392</v>
      </c>
      <c r="L48" s="195">
        <f t="shared" si="15"/>
        <v>0</v>
      </c>
      <c r="M48" s="195">
        <f t="shared" si="15"/>
        <v>0</v>
      </c>
      <c r="N48" s="195">
        <f t="shared" si="15"/>
        <v>0</v>
      </c>
      <c r="O48" s="195">
        <f t="shared" si="15"/>
        <v>0</v>
      </c>
      <c r="P48" s="195">
        <f t="shared" si="15"/>
        <v>0</v>
      </c>
      <c r="Q48" s="195">
        <f t="shared" si="15"/>
        <v>0</v>
      </c>
      <c r="R48" s="195">
        <f t="shared" si="15"/>
        <v>0</v>
      </c>
      <c r="S48" s="195">
        <f t="shared" si="15"/>
        <v>0</v>
      </c>
      <c r="T48" s="195">
        <f t="shared" si="15"/>
        <v>0</v>
      </c>
      <c r="U48" s="195">
        <f t="shared" si="15"/>
        <v>0</v>
      </c>
      <c r="V48" s="195">
        <f t="shared" si="15"/>
        <v>0</v>
      </c>
      <c r="W48" s="195">
        <f t="shared" si="15"/>
        <v>0</v>
      </c>
      <c r="X48" s="195">
        <f t="shared" si="15"/>
        <v>0</v>
      </c>
    </row>
    <row r="49" spans="1:24" ht="18" customHeight="1" outlineLevel="1">
      <c r="A49" s="37"/>
      <c r="B49" s="71"/>
      <c r="C49" s="71"/>
      <c r="D49" s="71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</row>
    <row r="50" spans="1:24" ht="18" customHeight="1" outlineLevel="1">
      <c r="A50" s="37"/>
      <c r="B50" s="110" t="s">
        <v>126</v>
      </c>
      <c r="C50" s="36"/>
      <c r="D50" s="36"/>
      <c r="E50" s="165">
        <f>(E45+E48)/2*'Control Panel'!$D$51</f>
        <v>20000000</v>
      </c>
      <c r="F50" s="165">
        <f>(F45+F48)/2*'Control Panel'!$C$51</f>
        <v>37500000</v>
      </c>
      <c r="G50" s="165">
        <f>(G45+G48)/2*'Control Panel'!$C$51</f>
        <v>62500000</v>
      </c>
      <c r="H50" s="165">
        <f>(H45+H48)/2*'Control Panel'!$C$51</f>
        <v>68607882.953743622</v>
      </c>
      <c r="I50" s="165">
        <f>(I45+I48)/2*'Control Panel'!$C$51</f>
        <v>55312279.497530371</v>
      </c>
      <c r="J50" s="165">
        <f>(J45+J48)/2*'Control Panel'!$C$51</f>
        <v>40953027.764820047</v>
      </c>
      <c r="K50" s="165">
        <f>(K45+K48)/2*'Control Panel'!$C$51</f>
        <v>25445035.893492904</v>
      </c>
      <c r="L50" s="165">
        <f>(L45+L48)/2*'Control Panel'!$C$51</f>
        <v>8696404.6724595986</v>
      </c>
      <c r="M50" s="165">
        <f>(M45+M48)/2*'Control Panel'!$C$51</f>
        <v>0</v>
      </c>
      <c r="N50" s="165">
        <f>(N45+N48)/2*'Control Panel'!$C$51</f>
        <v>0</v>
      </c>
      <c r="O50" s="165">
        <f>(O45+O48)/2*'Control Panel'!$C$51</f>
        <v>0</v>
      </c>
      <c r="P50" s="165">
        <f>(P45+P48)/2*'Control Panel'!$C$51</f>
        <v>0</v>
      </c>
      <c r="Q50" s="165">
        <f>(Q45+Q48)/2*'Control Panel'!$C$51</f>
        <v>0</v>
      </c>
      <c r="R50" s="165">
        <f>(R45+R48)/2*'Control Panel'!$C$51</f>
        <v>0</v>
      </c>
      <c r="S50" s="165">
        <f>(S45+S48)/2*'Control Panel'!$C$51</f>
        <v>0</v>
      </c>
      <c r="T50" s="165">
        <f>(T45+T48)/2*'Control Panel'!$C$51</f>
        <v>0</v>
      </c>
      <c r="U50" s="165">
        <f>(U45+U48)/2*'Control Panel'!$C$51</f>
        <v>0</v>
      </c>
      <c r="V50" s="165">
        <f>(V45+V48)/2*'Control Panel'!$C$51</f>
        <v>0</v>
      </c>
      <c r="W50" s="165">
        <f>(W45+W48)/2*'Control Panel'!$C$51</f>
        <v>0</v>
      </c>
      <c r="X50" s="165">
        <f>(X45+X48)/2*'Control Panel'!$C$51</f>
        <v>0</v>
      </c>
    </row>
    <row r="51" spans="1:24" ht="18" customHeight="1" outlineLevel="1">
      <c r="A51" s="37"/>
      <c r="B51" s="70" t="s">
        <v>127</v>
      </c>
      <c r="C51" s="109"/>
      <c r="D51" s="109"/>
      <c r="E51" s="198">
        <f t="shared" ref="E51:X51" si="16">SUM(E47:E47)</f>
        <v>0</v>
      </c>
      <c r="F51" s="198">
        <f t="shared" si="16"/>
        <v>0</v>
      </c>
      <c r="G51" s="198">
        <f t="shared" si="16"/>
        <v>0</v>
      </c>
      <c r="H51" s="198">
        <f t="shared" si="16"/>
        <v>255684681.85025489</v>
      </c>
      <c r="I51" s="198">
        <f t="shared" si="16"/>
        <v>276139456.39827532</v>
      </c>
      <c r="J51" s="198">
        <f t="shared" si="16"/>
        <v>298230612.91013736</v>
      </c>
      <c r="K51" s="198">
        <f t="shared" si="16"/>
        <v>322089061.94294828</v>
      </c>
      <c r="L51" s="198">
        <f t="shared" si="16"/>
        <v>347856186.89838415</v>
      </c>
      <c r="M51" s="198">
        <f t="shared" si="16"/>
        <v>0</v>
      </c>
      <c r="N51" s="198">
        <f t="shared" si="16"/>
        <v>0</v>
      </c>
      <c r="O51" s="198">
        <f t="shared" si="16"/>
        <v>0</v>
      </c>
      <c r="P51" s="198">
        <f t="shared" si="16"/>
        <v>0</v>
      </c>
      <c r="Q51" s="198">
        <f t="shared" si="16"/>
        <v>0</v>
      </c>
      <c r="R51" s="198">
        <f t="shared" si="16"/>
        <v>0</v>
      </c>
      <c r="S51" s="198">
        <f t="shared" si="16"/>
        <v>0</v>
      </c>
      <c r="T51" s="198">
        <f t="shared" si="16"/>
        <v>0</v>
      </c>
      <c r="U51" s="198">
        <f t="shared" si="16"/>
        <v>0</v>
      </c>
      <c r="V51" s="198">
        <f t="shared" si="16"/>
        <v>0</v>
      </c>
      <c r="W51" s="198">
        <f t="shared" si="16"/>
        <v>0</v>
      </c>
      <c r="X51" s="198">
        <f t="shared" si="16"/>
        <v>0</v>
      </c>
    </row>
    <row r="52" spans="1:24" ht="18" customHeight="1">
      <c r="A52" s="37"/>
      <c r="B52" s="9"/>
      <c r="C52" s="71"/>
      <c r="D52" s="71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</row>
    <row r="53" spans="1:24" s="15" customFormat="1" ht="18" customHeight="1">
      <c r="A53" s="115"/>
      <c r="B53" s="116" t="s">
        <v>128</v>
      </c>
      <c r="C53" s="117"/>
      <c r="D53" s="118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1:24" ht="18" customHeight="1" outlineLevel="1">
      <c r="A54" s="37"/>
      <c r="B54" s="9"/>
      <c r="C54" s="71"/>
      <c r="D54" s="71"/>
      <c r="E54" s="143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1:24" ht="18" customHeight="1" outlineLevel="1">
      <c r="A55" s="37"/>
      <c r="B55" s="8" t="str">
        <f>'Control Panel'!B64</f>
        <v>Equity Contributions</v>
      </c>
      <c r="C55" s="71"/>
      <c r="D55" s="71"/>
      <c r="E55" s="155">
        <f>IFERROR(INDEX('Control Panel'!$D64:$H64,MATCH(E$2,'Control Panel'!$D$63:$H$63,0)),0)*'Control Panel'!$C64</f>
        <v>1666666666.6666665</v>
      </c>
      <c r="F55" s="155">
        <f>IFERROR(INDEX('Control Panel'!$D64:$H64,MATCH(F$2,'Control Panel'!$D$63:$H$63,0)),0)*'Control Panel'!$C64</f>
        <v>1666666666.6666665</v>
      </c>
      <c r="G55" s="155">
        <f>IFERROR(INDEX('Control Panel'!$D64:$H64,MATCH(G$2,'Control Panel'!$D$63:$H$63,0)),0)*'Control Panel'!$C64</f>
        <v>1666666666.6666665</v>
      </c>
      <c r="H55" s="155">
        <f>IFERROR(INDEX('Control Panel'!$D64:$H64,MATCH(H$2,'Control Panel'!$D$63:$H$63,0)),0)*'Control Panel'!$C64</f>
        <v>0</v>
      </c>
      <c r="I55" s="155">
        <f>IFERROR(INDEX('Control Panel'!$D64:$H64,MATCH(I$2,'Control Panel'!$D$63:$H$63,0)),0)*'Control Panel'!$C64</f>
        <v>0</v>
      </c>
      <c r="J55" s="155">
        <f>IFERROR(INDEX('Control Panel'!$D64:$H64,MATCH(J$2,'Control Panel'!$D$63:$H$63,0)),0)*'Control Panel'!$C64</f>
        <v>0</v>
      </c>
      <c r="K55" s="155">
        <f>IFERROR(INDEX('Control Panel'!$D64:$H64,MATCH(K$2,'Control Panel'!$D$63:$H$63,0)),0)*'Control Panel'!$C64</f>
        <v>0</v>
      </c>
      <c r="L55" s="155">
        <f>IFERROR(INDEX('Control Panel'!$D64:$H64,MATCH(L$2,'Control Panel'!$D$63:$H$63,0)),0)*'Control Panel'!$C64</f>
        <v>0</v>
      </c>
      <c r="M55" s="155">
        <f>IFERROR(INDEX('Control Panel'!$D64:$H64,MATCH(M$2,'Control Panel'!$D$63:$H$63,0)),0)*'Control Panel'!$C64</f>
        <v>0</v>
      </c>
      <c r="N55" s="155">
        <f>IFERROR(INDEX('Control Panel'!$D64:$H64,MATCH(N$2,'Control Panel'!$D$63:$H$63,0)),0)*'Control Panel'!$C64</f>
        <v>0</v>
      </c>
      <c r="O55" s="155">
        <f>IFERROR(INDEX('Control Panel'!$D64:$H64,MATCH(O$2,'Control Panel'!$D$63:$H$63,0)),0)*'Control Panel'!$C64</f>
        <v>0</v>
      </c>
      <c r="P55" s="155">
        <f>IFERROR(INDEX('Control Panel'!$D64:$H64,MATCH(P$2,'Control Panel'!$D$63:$H$63,0)),0)*'Control Panel'!$C64</f>
        <v>0</v>
      </c>
      <c r="Q55" s="155">
        <f>IFERROR(INDEX('Control Panel'!$D64:$H64,MATCH(Q$2,'Control Panel'!$D$63:$H$63,0)),0)*'Control Panel'!$C64</f>
        <v>0</v>
      </c>
      <c r="R55" s="155">
        <f>IFERROR(INDEX('Control Panel'!$D64:$H64,MATCH(R$2,'Control Panel'!$D$63:$H$63,0)),0)*'Control Panel'!$C64</f>
        <v>0</v>
      </c>
      <c r="S55" s="155">
        <f>IFERROR(INDEX('Control Panel'!$D64:$H64,MATCH(S$2,'Control Panel'!$D$63:$H$63,0)),0)*'Control Panel'!$C64</f>
        <v>0</v>
      </c>
      <c r="T55" s="155">
        <f>IFERROR(INDEX('Control Panel'!$D64:$H64,MATCH(T$2,'Control Panel'!$D$63:$H$63,0)),0)*'Control Panel'!$C64</f>
        <v>0</v>
      </c>
      <c r="U55" s="155">
        <f>IFERROR(INDEX('Control Panel'!$D64:$H64,MATCH(U$2,'Control Panel'!$D$63:$H$63,0)),0)*'Control Panel'!$C64</f>
        <v>0</v>
      </c>
      <c r="V55" s="155">
        <f>IFERROR(INDEX('Control Panel'!$D64:$H64,MATCH(V$2,'Control Panel'!$D$63:$H$63,0)),0)*'Control Panel'!$C64</f>
        <v>0</v>
      </c>
      <c r="W55" s="155">
        <f>IFERROR(INDEX('Control Panel'!$D64:$H64,MATCH(W$2,'Control Panel'!$D$63:$H$63,0)),0)*'Control Panel'!$C64</f>
        <v>0</v>
      </c>
      <c r="X55" s="155">
        <f>IFERROR(INDEX('Control Panel'!$D64:$H64,MATCH(X$2,'Control Panel'!$D$63:$H$63,0)),0)*'Control Panel'!$C64</f>
        <v>0</v>
      </c>
    </row>
    <row r="56" spans="1:24" ht="18" customHeight="1" outlineLevel="1">
      <c r="A56" s="37"/>
      <c r="B56" s="9" t="str">
        <f>'Control Panel'!B65</f>
        <v>CHIPS Direct Funding Contributions</v>
      </c>
      <c r="C56" s="71"/>
      <c r="D56" s="71"/>
      <c r="E56" s="155">
        <f>IFERROR(INDEX('Control Panel'!$D65:$H65,MATCH(E$2,'Control Panel'!$D$63:$H$63,0)),0)*'Control Panel'!$C65</f>
        <v>0</v>
      </c>
      <c r="F56" s="155">
        <f>IFERROR(INDEX('Control Panel'!$D65:$H65,MATCH(F$2,'Control Panel'!$D$63:$H$63,0)),0)*'Control Panel'!$C65</f>
        <v>0</v>
      </c>
      <c r="G56" s="155">
        <f>IFERROR(INDEX('Control Panel'!$D65:$H65,MATCH(G$2,'Control Panel'!$D$63:$H$63,0)),0)*'Control Panel'!$C65</f>
        <v>0</v>
      </c>
      <c r="H56" s="155">
        <f>IFERROR(INDEX('Control Panel'!$D65:$H65,MATCH(H$2,'Control Panel'!$D$63:$H$63,0)),0)*'Control Panel'!$C65</f>
        <v>0</v>
      </c>
      <c r="I56" s="155">
        <f>IFERROR(INDEX('Control Panel'!$D65:$H65,MATCH(I$2,'Control Panel'!$D$63:$H$63,0)),0)*'Control Panel'!$C65</f>
        <v>0</v>
      </c>
      <c r="J56" s="155">
        <f>IFERROR(INDEX('Control Panel'!$D65:$H65,MATCH(J$2,'Control Panel'!$D$63:$H$63,0)),0)*'Control Panel'!$C65</f>
        <v>0</v>
      </c>
      <c r="K56" s="155">
        <f>IFERROR(INDEX('Control Panel'!$D65:$H65,MATCH(K$2,'Control Panel'!$D$63:$H$63,0)),0)*'Control Panel'!$C65</f>
        <v>0</v>
      </c>
      <c r="L56" s="155">
        <f>IFERROR(INDEX('Control Panel'!$D65:$H65,MATCH(L$2,'Control Panel'!$D$63:$H$63,0)),0)*'Control Panel'!$C65</f>
        <v>0</v>
      </c>
      <c r="M56" s="155">
        <f>IFERROR(INDEX('Control Panel'!$D65:$H65,MATCH(M$2,'Control Panel'!$D$63:$H$63,0)),0)*'Control Panel'!$C65</f>
        <v>0</v>
      </c>
      <c r="N56" s="155">
        <f>IFERROR(INDEX('Control Panel'!$D65:$H65,MATCH(N$2,'Control Panel'!$D$63:$H$63,0)),0)*'Control Panel'!$C65</f>
        <v>0</v>
      </c>
      <c r="O56" s="155">
        <f>IFERROR(INDEX('Control Panel'!$D65:$H65,MATCH(O$2,'Control Panel'!$D$63:$H$63,0)),0)*'Control Panel'!$C65</f>
        <v>0</v>
      </c>
      <c r="P56" s="155">
        <f>IFERROR(INDEX('Control Panel'!$D65:$H65,MATCH(P$2,'Control Panel'!$D$63:$H$63,0)),0)*'Control Panel'!$C65</f>
        <v>0</v>
      </c>
      <c r="Q56" s="155">
        <f>IFERROR(INDEX('Control Panel'!$D65:$H65,MATCH(Q$2,'Control Panel'!$D$63:$H$63,0)),0)*'Control Panel'!$C65</f>
        <v>0</v>
      </c>
      <c r="R56" s="155">
        <f>IFERROR(INDEX('Control Panel'!$D65:$H65,MATCH(R$2,'Control Panel'!$D$63:$H$63,0)),0)*'Control Panel'!$C65</f>
        <v>0</v>
      </c>
      <c r="S56" s="155">
        <f>IFERROR(INDEX('Control Panel'!$D65:$H65,MATCH(S$2,'Control Panel'!$D$63:$H$63,0)),0)*'Control Panel'!$C65</f>
        <v>0</v>
      </c>
      <c r="T56" s="155">
        <f>IFERROR(INDEX('Control Panel'!$D65:$H65,MATCH(T$2,'Control Panel'!$D$63:$H$63,0)),0)*'Control Panel'!$C65</f>
        <v>0</v>
      </c>
      <c r="U56" s="155">
        <f>IFERROR(INDEX('Control Panel'!$D65:$H65,MATCH(U$2,'Control Panel'!$D$63:$H$63,0)),0)*'Control Panel'!$C65</f>
        <v>0</v>
      </c>
      <c r="V56" s="155">
        <f>IFERROR(INDEX('Control Panel'!$D65:$H65,MATCH(V$2,'Control Panel'!$D$63:$H$63,0)),0)*'Control Panel'!$C65</f>
        <v>0</v>
      </c>
      <c r="W56" s="155">
        <f>IFERROR(INDEX('Control Panel'!$D65:$H65,MATCH(W$2,'Control Panel'!$D$63:$H$63,0)),0)*'Control Panel'!$C65</f>
        <v>0</v>
      </c>
      <c r="X56" s="155">
        <f>IFERROR(INDEX('Control Panel'!$D65:$H65,MATCH(X$2,'Control Panel'!$D$63:$H$63,0)),0)*'Control Panel'!$C65</f>
        <v>0</v>
      </c>
    </row>
    <row r="57" spans="1:24" ht="18" customHeight="1" outlineLevel="1">
      <c r="A57" s="37"/>
      <c r="B57" s="9" t="str">
        <f>'Control Panel'!B66</f>
        <v>State and Local Incentives</v>
      </c>
      <c r="C57" s="71"/>
      <c r="D57" s="71"/>
      <c r="E57" s="155">
        <f>IFERROR(INDEX('Control Panel'!$D66:$H66,MATCH(E$2,'Control Panel'!$D$63:$H$63,0)),0)*'Control Panel'!$C66</f>
        <v>0</v>
      </c>
      <c r="F57" s="155">
        <f>IFERROR(INDEX('Control Panel'!$D66:$H66,MATCH(F$2,'Control Panel'!$D$63:$H$63,0)),0)*'Control Panel'!$C66</f>
        <v>0</v>
      </c>
      <c r="G57" s="155">
        <f>IFERROR(INDEX('Control Panel'!$D66:$H66,MATCH(G$2,'Control Panel'!$D$63:$H$63,0)),0)*'Control Panel'!$C66</f>
        <v>0</v>
      </c>
      <c r="H57" s="155">
        <f>IFERROR(INDEX('Control Panel'!$D66:$H66,MATCH(H$2,'Control Panel'!$D$63:$H$63,0)),0)*'Control Panel'!$C66</f>
        <v>0</v>
      </c>
      <c r="I57" s="155">
        <f>IFERROR(INDEX('Control Panel'!$D66:$H66,MATCH(I$2,'Control Panel'!$D$63:$H$63,0)),0)*'Control Panel'!$C66</f>
        <v>0</v>
      </c>
      <c r="J57" s="155">
        <f>IFERROR(INDEX('Control Panel'!$D66:$H66,MATCH(J$2,'Control Panel'!$D$63:$H$63,0)),0)*'Control Panel'!$C66</f>
        <v>0</v>
      </c>
      <c r="K57" s="155">
        <f>IFERROR(INDEX('Control Panel'!$D66:$H66,MATCH(K$2,'Control Panel'!$D$63:$H$63,0)),0)*'Control Panel'!$C66</f>
        <v>0</v>
      </c>
      <c r="L57" s="155">
        <f>IFERROR(INDEX('Control Panel'!$D66:$H66,MATCH(L$2,'Control Panel'!$D$63:$H$63,0)),0)*'Control Panel'!$C66</f>
        <v>0</v>
      </c>
      <c r="M57" s="155">
        <f>IFERROR(INDEX('Control Panel'!$D66:$H66,MATCH(M$2,'Control Panel'!$D$63:$H$63,0)),0)*'Control Panel'!$C66</f>
        <v>0</v>
      </c>
      <c r="N57" s="155">
        <f>IFERROR(INDEX('Control Panel'!$D66:$H66,MATCH(N$2,'Control Panel'!$D$63:$H$63,0)),0)*'Control Panel'!$C66</f>
        <v>0</v>
      </c>
      <c r="O57" s="155">
        <f>IFERROR(INDEX('Control Panel'!$D66:$H66,MATCH(O$2,'Control Panel'!$D$63:$H$63,0)),0)*'Control Panel'!$C66</f>
        <v>0</v>
      </c>
      <c r="P57" s="155">
        <f>IFERROR(INDEX('Control Panel'!$D66:$H66,MATCH(P$2,'Control Panel'!$D$63:$H$63,0)),0)*'Control Panel'!$C66</f>
        <v>0</v>
      </c>
      <c r="Q57" s="155">
        <f>IFERROR(INDEX('Control Panel'!$D66:$H66,MATCH(Q$2,'Control Panel'!$D$63:$H$63,0)),0)*'Control Panel'!$C66</f>
        <v>0</v>
      </c>
      <c r="R57" s="155">
        <f>IFERROR(INDEX('Control Panel'!$D66:$H66,MATCH(R$2,'Control Panel'!$D$63:$H$63,0)),0)*'Control Panel'!$C66</f>
        <v>0</v>
      </c>
      <c r="S57" s="155">
        <f>IFERROR(INDEX('Control Panel'!$D66:$H66,MATCH(S$2,'Control Panel'!$D$63:$H$63,0)),0)*'Control Panel'!$C66</f>
        <v>0</v>
      </c>
      <c r="T57" s="155">
        <f>IFERROR(INDEX('Control Panel'!$D66:$H66,MATCH(T$2,'Control Panel'!$D$63:$H$63,0)),0)*'Control Panel'!$C66</f>
        <v>0</v>
      </c>
      <c r="U57" s="155">
        <f>IFERROR(INDEX('Control Panel'!$D66:$H66,MATCH(U$2,'Control Panel'!$D$63:$H$63,0)),0)*'Control Panel'!$C66</f>
        <v>0</v>
      </c>
      <c r="V57" s="155">
        <f>IFERROR(INDEX('Control Panel'!$D66:$H66,MATCH(V$2,'Control Panel'!$D$63:$H$63,0)),0)*'Control Panel'!$C66</f>
        <v>0</v>
      </c>
      <c r="W57" s="155">
        <f>IFERROR(INDEX('Control Panel'!$D66:$H66,MATCH(W$2,'Control Panel'!$D$63:$H$63,0)),0)*'Control Panel'!$C66</f>
        <v>0</v>
      </c>
      <c r="X57" s="155">
        <f>IFERROR(INDEX('Control Panel'!$D66:$H66,MATCH(X$2,'Control Panel'!$D$63:$H$63,0)),0)*'Control Panel'!$C66</f>
        <v>0</v>
      </c>
    </row>
    <row r="58" spans="1:24" ht="18" customHeight="1">
      <c r="A58" s="37"/>
      <c r="B58" s="9"/>
      <c r="C58" s="71"/>
      <c r="D58" s="71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1:24" s="15" customFormat="1" ht="18" customHeight="1">
      <c r="A59" s="115"/>
      <c r="B59" s="116" t="s">
        <v>129</v>
      </c>
      <c r="C59" s="117"/>
      <c r="D59" s="118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1:24" ht="18" customHeight="1" outlineLevel="1">
      <c r="A60" s="37"/>
      <c r="B60" s="71" t="s">
        <v>92</v>
      </c>
      <c r="C60" s="37"/>
      <c r="D60" s="10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</row>
    <row r="61" spans="1:24" ht="18" customHeight="1" outlineLevel="1">
      <c r="A61" s="37"/>
      <c r="B61" s="110" t="str">
        <f>'Control Panel'!B17</f>
        <v>Construction</v>
      </c>
      <c r="C61" s="37"/>
      <c r="E61" s="155">
        <f>'Depreciation Schedule'!E43</f>
        <v>29150000</v>
      </c>
      <c r="F61" s="155">
        <f>'Depreciation Schedule'!F43</f>
        <v>58300000</v>
      </c>
      <c r="G61" s="155">
        <f>'Depreciation Schedule'!G43</f>
        <v>58300000</v>
      </c>
      <c r="H61" s="155">
        <f>'Depreciation Schedule'!H43</f>
        <v>58300000</v>
      </c>
      <c r="I61" s="155">
        <f>'Depreciation Schedule'!I43</f>
        <v>58300000</v>
      </c>
      <c r="J61" s="155">
        <f>'Depreciation Schedule'!J43</f>
        <v>58300000</v>
      </c>
      <c r="K61" s="155">
        <f>'Depreciation Schedule'!K43</f>
        <v>58300000</v>
      </c>
      <c r="L61" s="155">
        <f>'Depreciation Schedule'!L43</f>
        <v>58300000</v>
      </c>
      <c r="M61" s="155">
        <f>'Depreciation Schedule'!M43</f>
        <v>58300000</v>
      </c>
      <c r="N61" s="155">
        <f>'Depreciation Schedule'!N43</f>
        <v>58300000</v>
      </c>
      <c r="O61" s="155">
        <f>'Depreciation Schedule'!O43</f>
        <v>58300000</v>
      </c>
      <c r="P61" s="155">
        <f>'Depreciation Schedule'!P43</f>
        <v>58300000</v>
      </c>
      <c r="Q61" s="155">
        <f>'Depreciation Schedule'!Q43</f>
        <v>58300000</v>
      </c>
      <c r="R61" s="155">
        <f>'Depreciation Schedule'!R43</f>
        <v>58300000</v>
      </c>
      <c r="S61" s="155">
        <f>'Depreciation Schedule'!S43</f>
        <v>58300000</v>
      </c>
      <c r="T61" s="155">
        <f>'Depreciation Schedule'!T43</f>
        <v>29150000</v>
      </c>
      <c r="U61" s="155">
        <f>'Depreciation Schedule'!U43</f>
        <v>0</v>
      </c>
      <c r="V61" s="155">
        <f>'Depreciation Schedule'!V43</f>
        <v>0</v>
      </c>
      <c r="W61" s="155">
        <f>'Depreciation Schedule'!W43</f>
        <v>0</v>
      </c>
      <c r="X61" s="155">
        <f>'Depreciation Schedule'!X43</f>
        <v>0</v>
      </c>
    </row>
    <row r="62" spans="1:24" ht="18" customHeight="1" outlineLevel="1">
      <c r="A62" s="37"/>
      <c r="B62" s="110" t="str">
        <f>'Control Panel'!B18</f>
        <v>Equipment</v>
      </c>
      <c r="C62" s="37"/>
      <c r="E62" s="155">
        <f>'Depreciation Schedule'!E70</f>
        <v>0</v>
      </c>
      <c r="F62" s="155">
        <f>'Depreciation Schedule'!F70</f>
        <v>397500000</v>
      </c>
      <c r="G62" s="155">
        <f>'Depreciation Schedule'!G70</f>
        <v>795000000</v>
      </c>
      <c r="H62" s="155">
        <f>'Depreciation Schedule'!H70</f>
        <v>795000000</v>
      </c>
      <c r="I62" s="155">
        <f>'Depreciation Schedule'!I70</f>
        <v>795000000</v>
      </c>
      <c r="J62" s="155">
        <f>'Depreciation Schedule'!J70</f>
        <v>795000000</v>
      </c>
      <c r="K62" s="155">
        <f>'Depreciation Schedule'!K70</f>
        <v>795000000</v>
      </c>
      <c r="L62" s="155">
        <f>'Depreciation Schedule'!L70</f>
        <v>397500000</v>
      </c>
      <c r="M62" s="155">
        <f>'Depreciation Schedule'!M70</f>
        <v>0</v>
      </c>
      <c r="N62" s="155">
        <f>'Depreciation Schedule'!N70</f>
        <v>0</v>
      </c>
      <c r="O62" s="155">
        <f>'Depreciation Schedule'!O70</f>
        <v>0</v>
      </c>
      <c r="P62" s="155">
        <f>'Depreciation Schedule'!P70</f>
        <v>0</v>
      </c>
      <c r="Q62" s="155">
        <f>'Depreciation Schedule'!Q70</f>
        <v>0</v>
      </c>
      <c r="R62" s="155">
        <f>'Depreciation Schedule'!R70</f>
        <v>0</v>
      </c>
      <c r="S62" s="155">
        <f>'Depreciation Schedule'!S70</f>
        <v>0</v>
      </c>
      <c r="T62" s="155">
        <f>'Depreciation Schedule'!T70</f>
        <v>0</v>
      </c>
      <c r="U62" s="155">
        <f>'Depreciation Schedule'!U70</f>
        <v>0</v>
      </c>
      <c r="V62" s="155">
        <f>'Depreciation Schedule'!V70</f>
        <v>0</v>
      </c>
      <c r="W62" s="155">
        <f>'Depreciation Schedule'!W70</f>
        <v>0</v>
      </c>
      <c r="X62" s="155">
        <f>'Depreciation Schedule'!X70</f>
        <v>0</v>
      </c>
    </row>
    <row r="63" spans="1:24" ht="18" customHeight="1" outlineLevel="1">
      <c r="A63" s="37"/>
      <c r="B63" s="110" t="str">
        <f>'Control Panel'!B19</f>
        <v>Administrative Expenses directly attributable to facility construction</v>
      </c>
      <c r="C63" s="37"/>
      <c r="E63" s="155">
        <f>'Depreciation Schedule'!E97</f>
        <v>3312500</v>
      </c>
      <c r="F63" s="155">
        <f>'Depreciation Schedule'!F97</f>
        <v>6625000</v>
      </c>
      <c r="G63" s="155">
        <f>'Depreciation Schedule'!G97</f>
        <v>13250000</v>
      </c>
      <c r="H63" s="155">
        <f>'Depreciation Schedule'!H97</f>
        <v>13250000</v>
      </c>
      <c r="I63" s="155">
        <f>'Depreciation Schedule'!I97</f>
        <v>13250000</v>
      </c>
      <c r="J63" s="155">
        <f>'Depreciation Schedule'!J97</f>
        <v>13250000</v>
      </c>
      <c r="K63" s="155">
        <f>'Depreciation Schedule'!K97</f>
        <v>9937500</v>
      </c>
      <c r="L63" s="155">
        <f>'Depreciation Schedule'!L97</f>
        <v>6625000</v>
      </c>
      <c r="M63" s="155">
        <f>'Depreciation Schedule'!M97</f>
        <v>0</v>
      </c>
      <c r="N63" s="155">
        <f>'Depreciation Schedule'!N97</f>
        <v>0</v>
      </c>
      <c r="O63" s="155">
        <f>'Depreciation Schedule'!O97</f>
        <v>0</v>
      </c>
      <c r="P63" s="155">
        <f>'Depreciation Schedule'!P97</f>
        <v>0</v>
      </c>
      <c r="Q63" s="155">
        <f>'Depreciation Schedule'!Q97</f>
        <v>0</v>
      </c>
      <c r="R63" s="155">
        <f>'Depreciation Schedule'!R97</f>
        <v>0</v>
      </c>
      <c r="S63" s="155">
        <f>'Depreciation Schedule'!S97</f>
        <v>0</v>
      </c>
      <c r="T63" s="155">
        <f>'Depreciation Schedule'!T97</f>
        <v>0</v>
      </c>
      <c r="U63" s="155">
        <f>'Depreciation Schedule'!U97</f>
        <v>0</v>
      </c>
      <c r="V63" s="155">
        <f>'Depreciation Schedule'!V97</f>
        <v>0</v>
      </c>
      <c r="W63" s="155">
        <f>'Depreciation Schedule'!W97</f>
        <v>0</v>
      </c>
      <c r="X63" s="155">
        <f>'Depreciation Schedule'!X97</f>
        <v>0</v>
      </c>
    </row>
    <row r="64" spans="1:24" ht="18" customHeight="1" outlineLevel="1">
      <c r="A64" s="37"/>
      <c r="B64" s="110" t="str">
        <f>'Control Panel'!B20</f>
        <v>Infrastructure Improvements</v>
      </c>
      <c r="C64" s="37"/>
      <c r="E64" s="155">
        <f>'Depreciation Schedule'!E124</f>
        <v>3312500</v>
      </c>
      <c r="F64" s="155">
        <f>'Depreciation Schedule'!F124</f>
        <v>6625000</v>
      </c>
      <c r="G64" s="155">
        <f>'Depreciation Schedule'!G124</f>
        <v>13250000</v>
      </c>
      <c r="H64" s="155">
        <f>'Depreciation Schedule'!H124</f>
        <v>13250000</v>
      </c>
      <c r="I64" s="155">
        <f>'Depreciation Schedule'!I124</f>
        <v>13250000</v>
      </c>
      <c r="J64" s="155">
        <f>'Depreciation Schedule'!J124</f>
        <v>13250000</v>
      </c>
      <c r="K64" s="155">
        <f>'Depreciation Schedule'!K124</f>
        <v>9937500</v>
      </c>
      <c r="L64" s="155">
        <f>'Depreciation Schedule'!L124</f>
        <v>6625000</v>
      </c>
      <c r="M64" s="155">
        <f>'Depreciation Schedule'!M124</f>
        <v>0</v>
      </c>
      <c r="N64" s="155">
        <f>'Depreciation Schedule'!N124</f>
        <v>0</v>
      </c>
      <c r="O64" s="155">
        <f>'Depreciation Schedule'!O124</f>
        <v>0</v>
      </c>
      <c r="P64" s="155">
        <f>'Depreciation Schedule'!P124</f>
        <v>0</v>
      </c>
      <c r="Q64" s="155">
        <f>'Depreciation Schedule'!Q124</f>
        <v>0</v>
      </c>
      <c r="R64" s="155">
        <f>'Depreciation Schedule'!R124</f>
        <v>0</v>
      </c>
      <c r="S64" s="155">
        <f>'Depreciation Schedule'!S124</f>
        <v>0</v>
      </c>
      <c r="T64" s="155">
        <f>'Depreciation Schedule'!T124</f>
        <v>0</v>
      </c>
      <c r="U64" s="155">
        <f>'Depreciation Schedule'!U124</f>
        <v>0</v>
      </c>
      <c r="V64" s="155">
        <f>'Depreciation Schedule'!V124</f>
        <v>0</v>
      </c>
      <c r="W64" s="155">
        <f>'Depreciation Schedule'!W124</f>
        <v>0</v>
      </c>
      <c r="X64" s="155">
        <f>'Depreciation Schedule'!X124</f>
        <v>0</v>
      </c>
    </row>
    <row r="65" spans="1:24" ht="18" customHeight="1" outlineLevel="1">
      <c r="A65" s="37"/>
      <c r="B65" s="110" t="str">
        <f>'Control Panel'!B21</f>
        <v>Other Capital Investment</v>
      </c>
      <c r="C65" s="37"/>
      <c r="E65" s="155">
        <f>'Depreciation Schedule'!E151</f>
        <v>19875000</v>
      </c>
      <c r="F65" s="155">
        <f>'Depreciation Schedule'!F151</f>
        <v>39750000</v>
      </c>
      <c r="G65" s="155">
        <f>'Depreciation Schedule'!G151</f>
        <v>79500000</v>
      </c>
      <c r="H65" s="155">
        <f>'Depreciation Schedule'!H151</f>
        <v>79500000</v>
      </c>
      <c r="I65" s="155">
        <f>'Depreciation Schedule'!I151</f>
        <v>79500000</v>
      </c>
      <c r="J65" s="155">
        <f>'Depreciation Schedule'!J151</f>
        <v>79500000</v>
      </c>
      <c r="K65" s="155">
        <f>'Depreciation Schedule'!K151</f>
        <v>59625000</v>
      </c>
      <c r="L65" s="155">
        <f>'Depreciation Schedule'!L151</f>
        <v>39750000</v>
      </c>
      <c r="M65" s="155">
        <f>'Depreciation Schedule'!M151</f>
        <v>0</v>
      </c>
      <c r="N65" s="155">
        <f>'Depreciation Schedule'!N151</f>
        <v>0</v>
      </c>
      <c r="O65" s="155">
        <f>'Depreciation Schedule'!O151</f>
        <v>0</v>
      </c>
      <c r="P65" s="155">
        <f>'Depreciation Schedule'!P151</f>
        <v>0</v>
      </c>
      <c r="Q65" s="155">
        <f>'Depreciation Schedule'!Q151</f>
        <v>0</v>
      </c>
      <c r="R65" s="155">
        <f>'Depreciation Schedule'!R151</f>
        <v>0</v>
      </c>
      <c r="S65" s="155">
        <f>'Depreciation Schedule'!S151</f>
        <v>0</v>
      </c>
      <c r="T65" s="155">
        <f>'Depreciation Schedule'!T151</f>
        <v>0</v>
      </c>
      <c r="U65" s="155">
        <f>'Depreciation Schedule'!U151</f>
        <v>0</v>
      </c>
      <c r="V65" s="155">
        <f>'Depreciation Schedule'!V151</f>
        <v>0</v>
      </c>
      <c r="W65" s="155">
        <f>'Depreciation Schedule'!W151</f>
        <v>0</v>
      </c>
      <c r="X65" s="155">
        <f>'Depreciation Schedule'!X151</f>
        <v>0</v>
      </c>
    </row>
    <row r="66" spans="1:24" ht="18" customHeight="1" outlineLevel="1">
      <c r="A66" s="37"/>
      <c r="B66" s="111" t="str">
        <f>'Control Panel'!$B$23</f>
        <v>Ongoing annual capital investment (after facility initiates operation)</v>
      </c>
      <c r="C66" s="97"/>
      <c r="D66" s="97"/>
      <c r="E66" s="141">
        <f>'Depreciation Schedule'!E177</f>
        <v>0</v>
      </c>
      <c r="F66" s="141">
        <f>'Depreciation Schedule'!F177</f>
        <v>0</v>
      </c>
      <c r="G66" s="141">
        <f>'Depreciation Schedule'!G177</f>
        <v>0</v>
      </c>
      <c r="H66" s="141">
        <f>'Depreciation Schedule'!H177</f>
        <v>53333333.333333336</v>
      </c>
      <c r="I66" s="141">
        <f>'Depreciation Schedule'!I177</f>
        <v>106666666.66666667</v>
      </c>
      <c r="J66" s="141">
        <f>'Depreciation Schedule'!J177</f>
        <v>160000000</v>
      </c>
      <c r="K66" s="141">
        <f>'Depreciation Schedule'!K177</f>
        <v>213333333.33333334</v>
      </c>
      <c r="L66" s="141">
        <f>'Depreciation Schedule'!L177</f>
        <v>266666666.66666669</v>
      </c>
      <c r="M66" s="141">
        <f>'Depreciation Schedule'!M177</f>
        <v>320000000</v>
      </c>
      <c r="N66" s="141">
        <f>'Depreciation Schedule'!N177</f>
        <v>320000000</v>
      </c>
      <c r="O66" s="141">
        <f>'Depreciation Schedule'!O177</f>
        <v>320000000</v>
      </c>
      <c r="P66" s="141">
        <f>'Depreciation Schedule'!P177</f>
        <v>320000000</v>
      </c>
      <c r="Q66" s="141">
        <f>'Depreciation Schedule'!Q177</f>
        <v>320000000</v>
      </c>
      <c r="R66" s="141">
        <f>'Depreciation Schedule'!R177</f>
        <v>320000000</v>
      </c>
      <c r="S66" s="141">
        <f>'Depreciation Schedule'!S177</f>
        <v>320000000</v>
      </c>
      <c r="T66" s="141">
        <f>'Depreciation Schedule'!T177</f>
        <v>320000000</v>
      </c>
      <c r="U66" s="141">
        <f>'Depreciation Schedule'!U177</f>
        <v>320000000</v>
      </c>
      <c r="V66" s="141">
        <f>'Depreciation Schedule'!V177</f>
        <v>320000000</v>
      </c>
      <c r="W66" s="141">
        <f>'Depreciation Schedule'!W177</f>
        <v>320000000</v>
      </c>
      <c r="X66" s="141">
        <f>'Depreciation Schedule'!X177</f>
        <v>320000000</v>
      </c>
    </row>
    <row r="67" spans="1:24" ht="18" customHeight="1" outlineLevel="1">
      <c r="A67" s="37"/>
      <c r="B67" s="308" t="s">
        <v>130</v>
      </c>
      <c r="C67" s="4"/>
      <c r="D67" s="6"/>
      <c r="E67" s="137">
        <f t="shared" ref="E67:X67" si="17">SUM(E61:E66)</f>
        <v>55650000</v>
      </c>
      <c r="F67" s="137">
        <f t="shared" si="17"/>
        <v>508800000</v>
      </c>
      <c r="G67" s="137">
        <f t="shared" si="17"/>
        <v>959300000</v>
      </c>
      <c r="H67" s="137">
        <f t="shared" si="17"/>
        <v>1012633333.3333334</v>
      </c>
      <c r="I67" s="137">
        <f t="shared" si="17"/>
        <v>1065966666.6666666</v>
      </c>
      <c r="J67" s="137">
        <f t="shared" si="17"/>
        <v>1119300000</v>
      </c>
      <c r="K67" s="137">
        <f t="shared" si="17"/>
        <v>1146133333.3333333</v>
      </c>
      <c r="L67" s="137">
        <f t="shared" si="17"/>
        <v>775466666.66666675</v>
      </c>
      <c r="M67" s="137">
        <f t="shared" si="17"/>
        <v>378300000</v>
      </c>
      <c r="N67" s="137">
        <f t="shared" si="17"/>
        <v>378300000</v>
      </c>
      <c r="O67" s="137">
        <f t="shared" si="17"/>
        <v>378300000</v>
      </c>
      <c r="P67" s="137">
        <f t="shared" si="17"/>
        <v>378300000</v>
      </c>
      <c r="Q67" s="137">
        <f t="shared" si="17"/>
        <v>378300000</v>
      </c>
      <c r="R67" s="137">
        <f t="shared" si="17"/>
        <v>378300000</v>
      </c>
      <c r="S67" s="137">
        <f t="shared" si="17"/>
        <v>378300000</v>
      </c>
      <c r="T67" s="137">
        <f t="shared" si="17"/>
        <v>349150000</v>
      </c>
      <c r="U67" s="137">
        <f t="shared" si="17"/>
        <v>320000000</v>
      </c>
      <c r="V67" s="137">
        <f t="shared" si="17"/>
        <v>320000000</v>
      </c>
      <c r="W67" s="137">
        <f t="shared" si="17"/>
        <v>320000000</v>
      </c>
      <c r="X67" s="137">
        <f t="shared" si="17"/>
        <v>320000000</v>
      </c>
    </row>
    <row r="68" spans="1:24" ht="18" customHeight="1">
      <c r="A68" s="37"/>
      <c r="B68" s="308"/>
      <c r="C68" s="71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</row>
    <row r="69" spans="1:24" ht="18" customHeight="1">
      <c r="A69" s="37"/>
      <c r="B69" s="37"/>
      <c r="C69" s="37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1:24" ht="18" customHeight="1">
      <c r="A70" s="37"/>
      <c r="B70" s="37"/>
      <c r="C70" s="37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1:24" ht="18" customHeight="1">
      <c r="A71" s="37"/>
      <c r="B71" s="37"/>
      <c r="C71" s="37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1:24" ht="18" customHeight="1">
      <c r="A72" s="37"/>
      <c r="B72" s="37"/>
      <c r="C72" s="37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1:24" ht="18" customHeight="1">
      <c r="A73" s="37"/>
      <c r="B73" s="37"/>
      <c r="C73" s="37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1:24" ht="18" customHeight="1">
      <c r="A74" s="37"/>
      <c r="B74" s="37"/>
      <c r="C74" s="37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1:24" ht="18" customHeight="1">
      <c r="A75" s="37"/>
      <c r="B75" s="37"/>
      <c r="C75" s="37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1:24" ht="18" customHeight="1">
      <c r="A76" s="37"/>
      <c r="B76" s="37"/>
      <c r="C76" s="37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1:24" ht="18" customHeight="1">
      <c r="A77" s="37"/>
      <c r="B77" s="37"/>
      <c r="C77" s="37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1:24" ht="18" customHeight="1">
      <c r="A78" s="37"/>
      <c r="B78" s="37"/>
      <c r="C78" s="37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1:24" ht="18" customHeight="1">
      <c r="A79" s="37"/>
      <c r="B79" s="37"/>
      <c r="C79" s="37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1:24" ht="18" customHeight="1">
      <c r="A80" s="37"/>
      <c r="B80" s="37"/>
      <c r="C80" s="37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1:24" ht="18" customHeight="1">
      <c r="A81" s="37"/>
      <c r="B81" s="37"/>
      <c r="C81" s="37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1:24" ht="18" customHeight="1">
      <c r="A82" s="37"/>
      <c r="B82" s="37"/>
      <c r="C82" s="37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1:24" ht="18" customHeight="1">
      <c r="A83" s="37"/>
      <c r="B83" s="37"/>
      <c r="C83" s="37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1:24" ht="18" customHeight="1">
      <c r="A84" s="37"/>
      <c r="B84" s="37"/>
      <c r="C84" s="37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1:24" ht="18" customHeight="1">
      <c r="A85" s="37"/>
      <c r="B85" s="37"/>
      <c r="C85" s="37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1:24" ht="18" customHeight="1">
      <c r="A86" s="37"/>
      <c r="B86" s="37"/>
      <c r="C86" s="37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1:24" ht="18" customHeight="1">
      <c r="A87" s="37"/>
      <c r="B87" s="37"/>
      <c r="C87" s="37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1:24" ht="18" customHeight="1">
      <c r="A88" s="37"/>
      <c r="B88" s="37"/>
      <c r="C88" s="37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1:24" ht="18" customHeight="1">
      <c r="A89" s="37"/>
      <c r="B89" s="37"/>
      <c r="C89" s="37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1:24" ht="18" customHeight="1">
      <c r="A90" s="37"/>
      <c r="B90" s="37"/>
      <c r="C90" s="37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1:24" ht="18" customHeight="1">
      <c r="A91" s="37"/>
      <c r="B91" s="37"/>
      <c r="C91" s="37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1:24" ht="18" customHeight="1">
      <c r="A92" s="37"/>
      <c r="B92" s="37"/>
      <c r="C92" s="37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1:24" ht="18" customHeight="1">
      <c r="A93" s="37"/>
      <c r="B93" s="37"/>
      <c r="C93" s="37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1:24" ht="18" customHeight="1">
      <c r="A94" s="37"/>
      <c r="B94" s="37"/>
      <c r="C94" s="37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ht="18" customHeight="1">
      <c r="A95" s="37"/>
      <c r="B95" s="37"/>
      <c r="C95" s="37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1:24" ht="18" customHeight="1">
      <c r="A96" s="37"/>
      <c r="B96" s="37"/>
      <c r="C96" s="37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1:24" ht="18" customHeight="1">
      <c r="A97" s="37"/>
      <c r="B97" s="37"/>
      <c r="C97" s="37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1:24" ht="18" customHeight="1"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1:24" ht="18" customHeight="1"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1:24" ht="18" customHeight="1"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1:24" ht="18" customHeight="1"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1:24" ht="18" customHeight="1"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1:24" ht="18" customHeight="1"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1:24" ht="18" customHeight="1"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1:24" ht="18" customHeight="1"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1:24" ht="18" customHeight="1"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1:24" ht="18" customHeight="1"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</row>
    <row r="108" spans="1:24" ht="18" customHeight="1"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1:24" ht="18" customHeight="1"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1:24" ht="18" customHeight="1"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1:24" ht="18" customHeight="1"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1:24" ht="18" customHeight="1"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5:24" ht="18" customHeight="1"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5:24" ht="18" customHeight="1"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5:24" ht="18" customHeight="1"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5:24" ht="18" customHeight="1"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5:24" ht="18" customHeight="1"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5:24" ht="18" customHeight="1"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5:24" ht="18" customHeight="1"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5:24" ht="18" customHeight="1"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</row>
    <row r="121" spans="5:24" ht="18" customHeight="1"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5:24" ht="18" customHeight="1"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5:24" ht="18" customHeight="1"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5:24" ht="18" customHeight="1"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5:24" ht="18" customHeight="1"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5:24" ht="18" customHeight="1"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5:24" ht="18" customHeight="1"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5:24" ht="18" customHeight="1"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5:24" ht="18" customHeight="1"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5:24" ht="18" customHeight="1"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5:24" ht="18" customHeight="1"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5:24" ht="18" customHeight="1"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5:24" ht="18" customHeight="1"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5:24" ht="18" customHeight="1"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5:24" ht="18" customHeight="1"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5:24" ht="18" customHeight="1"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5:24" ht="18" customHeight="1"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5:24" ht="18" customHeight="1"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5:24" ht="18" customHeight="1"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5:24" ht="18" customHeight="1"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5:24" ht="18" customHeight="1"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5:24" ht="18" customHeight="1"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5:24" ht="18" customHeight="1"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5:24" ht="18" customHeight="1"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5:24" ht="18" customHeight="1"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5:24" ht="18" customHeight="1"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5:24" ht="18" customHeight="1"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5:24" ht="18" customHeight="1"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5:24" ht="18" customHeight="1"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5:24" ht="18" customHeight="1"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5:24" ht="18" customHeight="1"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5:24" ht="18" customHeight="1"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5:24" ht="18" customHeight="1"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5:24" ht="18" customHeight="1"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5:24" ht="18" customHeight="1"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5:24" ht="18" customHeight="1"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5:24" ht="18" customHeight="1"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5:24" ht="18" customHeight="1"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5:24" ht="18" customHeight="1"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5:24" ht="18" customHeight="1"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5:24" ht="18" customHeight="1"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5:24" ht="18" customHeight="1"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5:24" ht="18" customHeight="1"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5:24"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5:24"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5:24"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5:24"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5:24"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5:24"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5:24"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5:24"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5:24"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5:24"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5:24"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5:24"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5:24"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5:24"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5:24"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5:24"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5:24"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5:24"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5:24"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5:24"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5:24"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5:24"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5:24"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5:24"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5:24"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5:24"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5:24"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</sheetData>
  <mergeCells count="1">
    <mergeCell ref="B13:C13"/>
  </mergeCells>
  <phoneticPr fontId="0" type="noConversion"/>
  <printOptions horizontalCentered="1" gridLinesSet="0"/>
  <pageMargins left="0.24" right="0.17" top="0.59" bottom="0.5" header="0.25" footer="0.25"/>
  <pageSetup paperSize="9" fitToHeight="0" orientation="landscape" r:id="rId1"/>
  <headerFooter alignWithMargins="0">
    <oddHeader>&amp;C&amp;"Times New Roman,Bold"&amp;16Project Assumptions</oddHeader>
    <oddFooter>&amp;L&amp;D &amp;T&amp;CPage &amp;P&amp;R&amp;F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F755-6539-4290-86B3-B6F165909EE1}">
  <sheetPr>
    <tabColor theme="1" tint="0.499984740745262"/>
  </sheetPr>
  <dimension ref="A1:AL206"/>
  <sheetViews>
    <sheetView showGridLines="0" zoomScale="80" zoomScaleNormal="80" workbookViewId="0">
      <pane xSplit="4" ySplit="5" topLeftCell="E6" activePane="bottomRight" state="frozen"/>
      <selection pane="bottomRight" activeCell="A6" sqref="A6"/>
      <selection pane="bottomLeft" activeCell="A6" sqref="A6"/>
      <selection pane="topRight" activeCell="E1" sqref="E1"/>
    </sheetView>
  </sheetViews>
  <sheetFormatPr defaultColWidth="8.7109375" defaultRowHeight="15.6" outlineLevelRow="1"/>
  <cols>
    <col min="1" max="1" width="3.7109375" style="2" customWidth="1"/>
    <col min="2" max="2" width="34.140625" style="2" bestFit="1" customWidth="1"/>
    <col min="3" max="4" width="8.7109375" style="2"/>
    <col min="5" max="24" width="18.7109375" style="2" customWidth="1"/>
    <col min="25" max="25" width="8.7109375" style="2"/>
    <col min="26" max="26" width="9.85546875" style="2" bestFit="1" customWidth="1"/>
    <col min="27" max="27" width="13.7109375" style="2" bestFit="1" customWidth="1"/>
    <col min="28" max="16384" width="8.7109375" style="2"/>
  </cols>
  <sheetData>
    <row r="1" spans="1:38" s="183" customFormat="1" ht="21">
      <c r="A1" s="182" t="s">
        <v>11</v>
      </c>
    </row>
    <row r="2" spans="1:38" s="185" customFormat="1">
      <c r="A2" s="184" t="s">
        <v>131</v>
      </c>
    </row>
    <row r="4" spans="1:38" s="222" customFormat="1">
      <c r="B4" s="223" t="s">
        <v>41</v>
      </c>
      <c r="C4" s="69"/>
      <c r="D4" s="69"/>
      <c r="E4" s="224">
        <v>1</v>
      </c>
      <c r="F4" s="69">
        <f>E4+1</f>
        <v>2</v>
      </c>
      <c r="G4" s="69">
        <f t="shared" ref="G4:M4" si="0">F4+1</f>
        <v>3</v>
      </c>
      <c r="H4" s="69">
        <f t="shared" si="0"/>
        <v>4</v>
      </c>
      <c r="I4" s="69">
        <f t="shared" si="0"/>
        <v>5</v>
      </c>
      <c r="J4" s="69">
        <f t="shared" si="0"/>
        <v>6</v>
      </c>
      <c r="K4" s="69">
        <f t="shared" si="0"/>
        <v>7</v>
      </c>
      <c r="L4" s="69">
        <f t="shared" si="0"/>
        <v>8</v>
      </c>
      <c r="M4" s="69">
        <f t="shared" si="0"/>
        <v>9</v>
      </c>
      <c r="N4" s="69">
        <f>M4+1</f>
        <v>10</v>
      </c>
      <c r="O4" s="69">
        <f>N4+1</f>
        <v>11</v>
      </c>
      <c r="P4" s="69">
        <f>O4+1</f>
        <v>12</v>
      </c>
      <c r="Q4" s="69">
        <f t="shared" ref="Q4:X4" si="1">P4+1</f>
        <v>13</v>
      </c>
      <c r="R4" s="69">
        <f t="shared" si="1"/>
        <v>14</v>
      </c>
      <c r="S4" s="69">
        <f t="shared" si="1"/>
        <v>15</v>
      </c>
      <c r="T4" s="69">
        <f t="shared" si="1"/>
        <v>16</v>
      </c>
      <c r="U4" s="69">
        <f t="shared" si="1"/>
        <v>17</v>
      </c>
      <c r="V4" s="69">
        <f t="shared" si="1"/>
        <v>18</v>
      </c>
      <c r="W4" s="69">
        <f t="shared" si="1"/>
        <v>19</v>
      </c>
      <c r="X4" s="69">
        <f t="shared" si="1"/>
        <v>20</v>
      </c>
      <c r="Y4" s="69"/>
      <c r="Z4" s="69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</row>
    <row r="5" spans="1:38">
      <c r="C5" s="241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</row>
    <row r="6" spans="1:38" s="222" customFormat="1">
      <c r="B6" s="223" t="s">
        <v>132</v>
      </c>
      <c r="C6" s="69"/>
      <c r="D6" s="69"/>
      <c r="E6" s="224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</row>
    <row r="7" spans="1:38" customFormat="1" ht="12.6" outlineLevel="1"/>
    <row r="8" spans="1:38" outlineLevel="1">
      <c r="B8" s="76" t="s">
        <v>133</v>
      </c>
      <c r="C8" s="216">
        <f>'Control Panel'!$C$72*'Control Panel'!$C$71</f>
        <v>0.20499999999999999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</row>
    <row r="9" spans="1:38" outlineLevel="1">
      <c r="B9" s="10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</row>
    <row r="10" spans="1:38" outlineLevel="1">
      <c r="B10" s="75" t="s">
        <v>134</v>
      </c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</row>
    <row r="11" spans="1:38" outlineLevel="1">
      <c r="B11" s="215" t="s">
        <v>135</v>
      </c>
      <c r="E11" s="143">
        <f>E19-E20</f>
        <v>112750000</v>
      </c>
      <c r="F11" s="143">
        <f t="shared" ref="F11:X11" si="2">F19-F20</f>
        <v>112750000</v>
      </c>
      <c r="G11" s="143">
        <f t="shared" si="2"/>
        <v>0</v>
      </c>
      <c r="H11" s="143">
        <f t="shared" si="2"/>
        <v>0</v>
      </c>
      <c r="I11" s="143">
        <f t="shared" si="2"/>
        <v>0</v>
      </c>
      <c r="J11" s="143">
        <f t="shared" si="2"/>
        <v>0</v>
      </c>
      <c r="K11" s="143">
        <f t="shared" si="2"/>
        <v>0</v>
      </c>
      <c r="L11" s="143">
        <f t="shared" si="2"/>
        <v>0</v>
      </c>
      <c r="M11" s="143">
        <f t="shared" si="2"/>
        <v>0</v>
      </c>
      <c r="N11" s="143">
        <f t="shared" si="2"/>
        <v>0</v>
      </c>
      <c r="O11" s="143">
        <f t="shared" si="2"/>
        <v>0</v>
      </c>
      <c r="P11" s="143">
        <f t="shared" si="2"/>
        <v>0</v>
      </c>
      <c r="Q11" s="143">
        <f t="shared" si="2"/>
        <v>0</v>
      </c>
      <c r="R11" s="143">
        <f t="shared" si="2"/>
        <v>0</v>
      </c>
      <c r="S11" s="143">
        <f t="shared" si="2"/>
        <v>0</v>
      </c>
      <c r="T11" s="143">
        <f t="shared" si="2"/>
        <v>0</v>
      </c>
      <c r="U11" s="143">
        <f t="shared" si="2"/>
        <v>0</v>
      </c>
      <c r="V11" s="143">
        <f t="shared" si="2"/>
        <v>0</v>
      </c>
      <c r="W11" s="143">
        <f t="shared" si="2"/>
        <v>0</v>
      </c>
      <c r="X11" s="143">
        <f t="shared" si="2"/>
        <v>0</v>
      </c>
      <c r="Y11" s="143"/>
      <c r="Z11" s="143"/>
      <c r="AA11" s="143"/>
    </row>
    <row r="12" spans="1:38" outlineLevel="1">
      <c r="B12" s="215" t="s">
        <v>136</v>
      </c>
      <c r="E12" s="143">
        <f>E46-E47</f>
        <v>0</v>
      </c>
      <c r="F12" s="143">
        <f t="shared" ref="F12:X12" si="3">F46-F47</f>
        <v>615000000</v>
      </c>
      <c r="G12" s="143">
        <f t="shared" si="3"/>
        <v>615000000</v>
      </c>
      <c r="H12" s="143">
        <f t="shared" si="3"/>
        <v>0</v>
      </c>
      <c r="I12" s="143">
        <f t="shared" si="3"/>
        <v>0</v>
      </c>
      <c r="J12" s="143">
        <f t="shared" si="3"/>
        <v>0</v>
      </c>
      <c r="K12" s="143">
        <f t="shared" si="3"/>
        <v>0</v>
      </c>
      <c r="L12" s="143">
        <f t="shared" si="3"/>
        <v>0</v>
      </c>
      <c r="M12" s="143">
        <f t="shared" si="3"/>
        <v>0</v>
      </c>
      <c r="N12" s="143">
        <f t="shared" si="3"/>
        <v>0</v>
      </c>
      <c r="O12" s="143">
        <f t="shared" si="3"/>
        <v>0</v>
      </c>
      <c r="P12" s="143">
        <f t="shared" si="3"/>
        <v>0</v>
      </c>
      <c r="Q12" s="143">
        <f t="shared" si="3"/>
        <v>0</v>
      </c>
      <c r="R12" s="143">
        <f t="shared" si="3"/>
        <v>0</v>
      </c>
      <c r="S12" s="143">
        <f t="shared" si="3"/>
        <v>0</v>
      </c>
      <c r="T12" s="143">
        <f t="shared" si="3"/>
        <v>0</v>
      </c>
      <c r="U12" s="143">
        <f t="shared" si="3"/>
        <v>0</v>
      </c>
      <c r="V12" s="143">
        <f t="shared" si="3"/>
        <v>0</v>
      </c>
      <c r="W12" s="143">
        <f t="shared" si="3"/>
        <v>0</v>
      </c>
      <c r="X12" s="143">
        <f t="shared" si="3"/>
        <v>0</v>
      </c>
      <c r="Y12" s="143"/>
      <c r="Z12" s="143"/>
      <c r="AA12" s="143"/>
    </row>
    <row r="13" spans="1:38" outlineLevel="1">
      <c r="B13" s="215" t="s">
        <v>137</v>
      </c>
      <c r="E13" s="143">
        <f>E73-E74</f>
        <v>5125000</v>
      </c>
      <c r="F13" s="143">
        <f t="shared" ref="F13:X13" si="4">F73-F74</f>
        <v>5125000</v>
      </c>
      <c r="G13" s="143">
        <f t="shared" si="4"/>
        <v>10250000</v>
      </c>
      <c r="H13" s="143">
        <f t="shared" si="4"/>
        <v>0</v>
      </c>
      <c r="I13" s="143">
        <f t="shared" si="4"/>
        <v>0</v>
      </c>
      <c r="J13" s="143">
        <f t="shared" si="4"/>
        <v>0</v>
      </c>
      <c r="K13" s="143">
        <f t="shared" si="4"/>
        <v>0</v>
      </c>
      <c r="L13" s="143">
        <f t="shared" si="4"/>
        <v>0</v>
      </c>
      <c r="M13" s="143">
        <f t="shared" si="4"/>
        <v>0</v>
      </c>
      <c r="N13" s="143">
        <f t="shared" si="4"/>
        <v>0</v>
      </c>
      <c r="O13" s="143">
        <f t="shared" si="4"/>
        <v>0</v>
      </c>
      <c r="P13" s="143">
        <f t="shared" si="4"/>
        <v>0</v>
      </c>
      <c r="Q13" s="143">
        <f t="shared" si="4"/>
        <v>0</v>
      </c>
      <c r="R13" s="143">
        <f t="shared" si="4"/>
        <v>0</v>
      </c>
      <c r="S13" s="143">
        <f t="shared" si="4"/>
        <v>0</v>
      </c>
      <c r="T13" s="143">
        <f t="shared" si="4"/>
        <v>0</v>
      </c>
      <c r="U13" s="143">
        <f t="shared" si="4"/>
        <v>0</v>
      </c>
      <c r="V13" s="143">
        <f t="shared" si="4"/>
        <v>0</v>
      </c>
      <c r="W13" s="143">
        <f t="shared" si="4"/>
        <v>0</v>
      </c>
      <c r="X13" s="143">
        <f t="shared" si="4"/>
        <v>0</v>
      </c>
      <c r="Y13" s="143"/>
      <c r="Z13" s="143"/>
      <c r="AA13" s="143"/>
    </row>
    <row r="14" spans="1:38" outlineLevel="1">
      <c r="B14" s="215" t="s">
        <v>138</v>
      </c>
      <c r="E14" s="143">
        <f>E100-E101</f>
        <v>5125000</v>
      </c>
      <c r="F14" s="143">
        <f t="shared" ref="F14:X14" si="5">F100-F101</f>
        <v>5125000</v>
      </c>
      <c r="G14" s="143">
        <f t="shared" si="5"/>
        <v>10250000</v>
      </c>
      <c r="H14" s="143">
        <f t="shared" si="5"/>
        <v>0</v>
      </c>
      <c r="I14" s="143">
        <f t="shared" si="5"/>
        <v>0</v>
      </c>
      <c r="J14" s="143">
        <f t="shared" si="5"/>
        <v>0</v>
      </c>
      <c r="K14" s="143">
        <f t="shared" si="5"/>
        <v>0</v>
      </c>
      <c r="L14" s="143">
        <f t="shared" si="5"/>
        <v>0</v>
      </c>
      <c r="M14" s="143">
        <f t="shared" si="5"/>
        <v>0</v>
      </c>
      <c r="N14" s="143">
        <f t="shared" si="5"/>
        <v>0</v>
      </c>
      <c r="O14" s="143">
        <f t="shared" si="5"/>
        <v>0</v>
      </c>
      <c r="P14" s="143">
        <f t="shared" si="5"/>
        <v>0</v>
      </c>
      <c r="Q14" s="143">
        <f t="shared" si="5"/>
        <v>0</v>
      </c>
      <c r="R14" s="143">
        <f t="shared" si="5"/>
        <v>0</v>
      </c>
      <c r="S14" s="143">
        <f t="shared" si="5"/>
        <v>0</v>
      </c>
      <c r="T14" s="143">
        <f t="shared" si="5"/>
        <v>0</v>
      </c>
      <c r="U14" s="143">
        <f t="shared" si="5"/>
        <v>0</v>
      </c>
      <c r="V14" s="143">
        <f t="shared" si="5"/>
        <v>0</v>
      </c>
      <c r="W14" s="143">
        <f t="shared" si="5"/>
        <v>0</v>
      </c>
      <c r="X14" s="143">
        <f t="shared" si="5"/>
        <v>0</v>
      </c>
      <c r="Y14" s="143"/>
      <c r="Z14" s="143"/>
      <c r="AA14" s="143"/>
    </row>
    <row r="15" spans="1:38" outlineLevel="1">
      <c r="B15" s="215" t="s">
        <v>139</v>
      </c>
      <c r="E15" s="143">
        <f>E127-E128</f>
        <v>30750000</v>
      </c>
      <c r="F15" s="143">
        <f t="shared" ref="F15:X15" si="6">F127-F128</f>
        <v>30750000</v>
      </c>
      <c r="G15" s="143">
        <f t="shared" si="6"/>
        <v>61500000</v>
      </c>
      <c r="H15" s="143">
        <f t="shared" si="6"/>
        <v>0</v>
      </c>
      <c r="I15" s="143">
        <f t="shared" si="6"/>
        <v>0</v>
      </c>
      <c r="J15" s="143">
        <f t="shared" si="6"/>
        <v>0</v>
      </c>
      <c r="K15" s="143">
        <f t="shared" si="6"/>
        <v>0</v>
      </c>
      <c r="L15" s="143">
        <f t="shared" si="6"/>
        <v>0</v>
      </c>
      <c r="M15" s="143">
        <f t="shared" si="6"/>
        <v>0</v>
      </c>
      <c r="N15" s="143">
        <f t="shared" si="6"/>
        <v>0</v>
      </c>
      <c r="O15" s="143">
        <f t="shared" si="6"/>
        <v>0</v>
      </c>
      <c r="P15" s="143">
        <f t="shared" si="6"/>
        <v>0</v>
      </c>
      <c r="Q15" s="143">
        <f t="shared" si="6"/>
        <v>0</v>
      </c>
      <c r="R15" s="143">
        <f t="shared" si="6"/>
        <v>0</v>
      </c>
      <c r="S15" s="143">
        <f t="shared" si="6"/>
        <v>0</v>
      </c>
      <c r="T15" s="143">
        <f t="shared" si="6"/>
        <v>0</v>
      </c>
      <c r="U15" s="143">
        <f t="shared" si="6"/>
        <v>0</v>
      </c>
      <c r="V15" s="143">
        <f t="shared" si="6"/>
        <v>0</v>
      </c>
      <c r="W15" s="143">
        <f t="shared" si="6"/>
        <v>0</v>
      </c>
      <c r="X15" s="143">
        <f t="shared" si="6"/>
        <v>0</v>
      </c>
      <c r="Y15" s="143"/>
      <c r="Z15" s="143"/>
      <c r="AA15" s="143"/>
    </row>
    <row r="16" spans="1:38" outlineLevel="1">
      <c r="B16" s="75" t="s">
        <v>140</v>
      </c>
      <c r="C16" s="6"/>
      <c r="D16" s="6"/>
      <c r="E16" s="226">
        <f t="shared" ref="E16:X16" si="7">SUM(E11:E15)</f>
        <v>153750000</v>
      </c>
      <c r="F16" s="226">
        <f t="shared" si="7"/>
        <v>768750000</v>
      </c>
      <c r="G16" s="226">
        <f t="shared" si="7"/>
        <v>697000000</v>
      </c>
      <c r="H16" s="226">
        <f t="shared" si="7"/>
        <v>0</v>
      </c>
      <c r="I16" s="226">
        <f t="shared" si="7"/>
        <v>0</v>
      </c>
      <c r="J16" s="226">
        <f t="shared" si="7"/>
        <v>0</v>
      </c>
      <c r="K16" s="226">
        <f t="shared" si="7"/>
        <v>0</v>
      </c>
      <c r="L16" s="226">
        <f t="shared" si="7"/>
        <v>0</v>
      </c>
      <c r="M16" s="226">
        <f t="shared" si="7"/>
        <v>0</v>
      </c>
      <c r="N16" s="226">
        <f t="shared" si="7"/>
        <v>0</v>
      </c>
      <c r="O16" s="226">
        <f t="shared" si="7"/>
        <v>0</v>
      </c>
      <c r="P16" s="226">
        <f t="shared" si="7"/>
        <v>0</v>
      </c>
      <c r="Q16" s="226">
        <f t="shared" si="7"/>
        <v>0</v>
      </c>
      <c r="R16" s="226">
        <f t="shared" si="7"/>
        <v>0</v>
      </c>
      <c r="S16" s="226">
        <f t="shared" si="7"/>
        <v>0</v>
      </c>
      <c r="T16" s="226">
        <f t="shared" si="7"/>
        <v>0</v>
      </c>
      <c r="U16" s="226">
        <f t="shared" si="7"/>
        <v>0</v>
      </c>
      <c r="V16" s="226">
        <f t="shared" si="7"/>
        <v>0</v>
      </c>
      <c r="W16" s="226">
        <f t="shared" si="7"/>
        <v>0</v>
      </c>
      <c r="X16" s="226">
        <f t="shared" si="7"/>
        <v>0</v>
      </c>
      <c r="Y16" s="143"/>
      <c r="Z16" s="143"/>
      <c r="AA16" s="143"/>
    </row>
    <row r="17" spans="2:38"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</row>
    <row r="18" spans="2:38" s="222" customFormat="1">
      <c r="B18" s="223" t="s">
        <v>141</v>
      </c>
      <c r="C18" s="69"/>
      <c r="D18" s="69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8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</row>
    <row r="19" spans="2:38" outlineLevel="1">
      <c r="B19" s="191" t="s">
        <v>142</v>
      </c>
      <c r="E19" s="143">
        <f>'Assumptions Processing'!E7</f>
        <v>550000000</v>
      </c>
      <c r="F19" s="143">
        <f>'Assumptions Processing'!F7</f>
        <v>550000000</v>
      </c>
      <c r="G19" s="143">
        <f>'Assumptions Processing'!G7</f>
        <v>0</v>
      </c>
      <c r="H19" s="143">
        <f>'Assumptions Processing'!H7</f>
        <v>0</v>
      </c>
      <c r="I19" s="143">
        <f>'Assumptions Processing'!I7</f>
        <v>0</v>
      </c>
      <c r="J19" s="143">
        <f>'Assumptions Processing'!J7</f>
        <v>0</v>
      </c>
      <c r="K19" s="143">
        <f>'Assumptions Processing'!K7</f>
        <v>0</v>
      </c>
      <c r="L19" s="143">
        <f>'Assumptions Processing'!L7</f>
        <v>0</v>
      </c>
      <c r="M19" s="143">
        <f>'Assumptions Processing'!M7</f>
        <v>0</v>
      </c>
      <c r="N19" s="143">
        <f>'Assumptions Processing'!N7</f>
        <v>0</v>
      </c>
      <c r="O19" s="143">
        <f>'Assumptions Processing'!O7</f>
        <v>0</v>
      </c>
      <c r="P19" s="143">
        <f>'Assumptions Processing'!P7</f>
        <v>0</v>
      </c>
      <c r="Q19" s="143">
        <f>'Assumptions Processing'!Q7</f>
        <v>0</v>
      </c>
      <c r="R19" s="143">
        <f>'Assumptions Processing'!R7</f>
        <v>0</v>
      </c>
      <c r="S19" s="143">
        <f>'Assumptions Processing'!S7</f>
        <v>0</v>
      </c>
      <c r="T19" s="143">
        <f>'Assumptions Processing'!T7</f>
        <v>0</v>
      </c>
      <c r="U19" s="143">
        <f>'Assumptions Processing'!U7</f>
        <v>0</v>
      </c>
      <c r="V19" s="143">
        <f>'Assumptions Processing'!V7</f>
        <v>0</v>
      </c>
      <c r="W19" s="143">
        <f>'Assumptions Processing'!W7</f>
        <v>0</v>
      </c>
      <c r="X19" s="143">
        <f>'Assumptions Processing'!X7</f>
        <v>0</v>
      </c>
      <c r="Y19" s="143"/>
      <c r="Z19" s="143"/>
      <c r="AA19" s="143"/>
    </row>
    <row r="20" spans="2:38" outlineLevel="1">
      <c r="B20" s="191" t="s">
        <v>143</v>
      </c>
      <c r="E20" s="143">
        <f>'Assumptions Processing'!E7*(1-$C$8)</f>
        <v>437250000</v>
      </c>
      <c r="F20" s="143">
        <f>'Assumptions Processing'!F7*(1-$C$8)</f>
        <v>437250000</v>
      </c>
      <c r="G20" s="143">
        <f>'Assumptions Processing'!G7*(1-$C$8)</f>
        <v>0</v>
      </c>
      <c r="H20" s="143">
        <f>'Assumptions Processing'!H7*(1-$C$8)</f>
        <v>0</v>
      </c>
      <c r="I20" s="143">
        <f>'Assumptions Processing'!I7*(1-$C$8)</f>
        <v>0</v>
      </c>
      <c r="J20" s="143">
        <f>'Assumptions Processing'!J7*(1-$C$8)</f>
        <v>0</v>
      </c>
      <c r="K20" s="143">
        <f>'Assumptions Processing'!K7*(1-$C$8)</f>
        <v>0</v>
      </c>
      <c r="L20" s="143">
        <f>'Assumptions Processing'!L7*(1-$C$8)</f>
        <v>0</v>
      </c>
      <c r="M20" s="143">
        <f>'Assumptions Processing'!M7*(1-$C$8)</f>
        <v>0</v>
      </c>
      <c r="N20" s="143">
        <f>'Assumptions Processing'!N7*(1-$C$8)</f>
        <v>0</v>
      </c>
      <c r="O20" s="143">
        <f>'Assumptions Processing'!O7*(1-$C$8)</f>
        <v>0</v>
      </c>
      <c r="P20" s="143">
        <f>'Assumptions Processing'!P7*(1-$C$8)</f>
        <v>0</v>
      </c>
      <c r="Q20" s="143">
        <f>'Assumptions Processing'!Q7*(1-$C$8)</f>
        <v>0</v>
      </c>
      <c r="R20" s="143">
        <f>'Assumptions Processing'!R7*(1-$C$8)</f>
        <v>0</v>
      </c>
      <c r="S20" s="143">
        <f>'Assumptions Processing'!S7*(1-$C$8)</f>
        <v>0</v>
      </c>
      <c r="T20" s="143">
        <f>'Assumptions Processing'!T7*(1-$C$8)</f>
        <v>0</v>
      </c>
      <c r="U20" s="143">
        <f>'Assumptions Processing'!U7*(1-$C$8)</f>
        <v>0</v>
      </c>
      <c r="V20" s="143">
        <f>'Assumptions Processing'!V7*(1-$C$8)</f>
        <v>0</v>
      </c>
      <c r="W20" s="143">
        <f>'Assumptions Processing'!W7*(1-$C$8)</f>
        <v>0</v>
      </c>
      <c r="X20" s="143">
        <f>'Assumptions Processing'!X7*(1-$C$8)</f>
        <v>0</v>
      </c>
      <c r="Y20" s="143"/>
      <c r="Z20" s="143"/>
      <c r="AA20" s="143" t="s">
        <v>144</v>
      </c>
    </row>
    <row r="21" spans="2:38" outlineLevel="1">
      <c r="B21" s="191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</row>
    <row r="22" spans="2:38" outlineLevel="1">
      <c r="B22" s="191"/>
      <c r="E22" s="225" t="s">
        <v>145</v>
      </c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</row>
    <row r="23" spans="2:38" outlineLevel="1">
      <c r="C23" s="37"/>
      <c r="D23" s="37"/>
      <c r="E23" s="229">
        <f>IF(E$4&lt;$Z23,"",IF(SUM($D23:D23)&lt;$AA23,IF('Control Panel'!$C$76=0,0,$AA23/'Control Panel'!$C$76),0))</f>
        <v>29150000</v>
      </c>
      <c r="F23" s="230">
        <f>IF(F$4&lt;$Z23,"",IF(SUM($D23:E23)&lt;$AA23,IF('Control Panel'!$C$76=0,0,$AA23/'Control Panel'!$C$76),0))</f>
        <v>29150000</v>
      </c>
      <c r="G23" s="230">
        <f>IF(G$4&lt;$Z23,"",IF(SUM($D23:F23)&lt;$AA23,IF('Control Panel'!$C$76=0,0,$AA23/'Control Panel'!$C$76),0))</f>
        <v>29150000</v>
      </c>
      <c r="H23" s="230">
        <f>IF(H$4&lt;$Z23,"",IF(SUM($D23:G23)&lt;$AA23,IF('Control Panel'!$C$76=0,0,$AA23/'Control Panel'!$C$76),0))</f>
        <v>29150000</v>
      </c>
      <c r="I23" s="230">
        <f>IF(I$4&lt;$Z23,"",IF(SUM($D23:H23)&lt;$AA23,IF('Control Panel'!$C$76=0,0,$AA23/'Control Panel'!$C$76),0))</f>
        <v>29150000</v>
      </c>
      <c r="J23" s="230">
        <f>IF(J$4&lt;$Z23,"",IF(SUM($D23:I23)&lt;$AA23,IF('Control Panel'!$C$76=0,0,$AA23/'Control Panel'!$C$76),0))</f>
        <v>29150000</v>
      </c>
      <c r="K23" s="230">
        <f>IF(K$4&lt;$Z23,"",IF(SUM($D23:J23)&lt;$AA23,IF('Control Panel'!$C$76=0,0,$AA23/'Control Panel'!$C$76),0))</f>
        <v>29150000</v>
      </c>
      <c r="L23" s="230">
        <f>IF(L$4&lt;$Z23,"",IF(SUM($D23:K23)&lt;$AA23,IF('Control Panel'!$C$76=0,0,$AA23/'Control Panel'!$C$76),0))</f>
        <v>29150000</v>
      </c>
      <c r="M23" s="230">
        <f>IF(M$4&lt;$Z23,"",IF(SUM($D23:L23)&lt;$AA23,IF('Control Panel'!$C$76=0,0,$AA23/'Control Panel'!$C$76),0))</f>
        <v>29150000</v>
      </c>
      <c r="N23" s="230">
        <f>IF(N$4&lt;$Z23,"",IF(SUM($D23:M23)&lt;$AA23,IF('Control Panel'!$C$76=0,0,$AA23/'Control Panel'!$C$76),0))</f>
        <v>29150000</v>
      </c>
      <c r="O23" s="230">
        <f>IF(O$4&lt;$Z23,"",IF(SUM($D23:N23)&lt;$AA23,IF('Control Panel'!$C$76=0,0,$AA23/'Control Panel'!$C$76),0))</f>
        <v>29150000</v>
      </c>
      <c r="P23" s="230">
        <f>IF(P$4&lt;$Z23,"",IF(SUM($D23:O23)&lt;$AA23,IF('Control Panel'!$C$76=0,0,$AA23/'Control Panel'!$C$76),0))</f>
        <v>29150000</v>
      </c>
      <c r="Q23" s="230">
        <f>IF(Q$4&lt;$Z23,"",IF(SUM($D23:P23)&lt;$AA23,IF('Control Panel'!$C$76=0,0,$AA23/'Control Panel'!$C$76),0))</f>
        <v>29150000</v>
      </c>
      <c r="R23" s="230">
        <f>IF(R$4&lt;$Z23,"",IF(SUM($D23:Q23)&lt;$AA23,IF('Control Panel'!$C$76=0,0,$AA23/'Control Panel'!$C$76),0))</f>
        <v>29150000</v>
      </c>
      <c r="S23" s="230">
        <f>IF(S$4&lt;$Z23,"",IF(SUM($D23:R23)&lt;$AA23,IF('Control Panel'!$C$76=0,0,$AA23/'Control Panel'!$C$76),0))</f>
        <v>29150000</v>
      </c>
      <c r="T23" s="230">
        <f>IF(T$4&lt;$Z23,"",IF(SUM($D23:S23)&lt;$AA23,IF('Control Panel'!$C$76=0,0,$AA23/'Control Panel'!$C$76),0))</f>
        <v>0</v>
      </c>
      <c r="U23" s="230">
        <f>IF(U$4&lt;$Z23,"",IF(SUM($D23:T23)&lt;$AA23,IF('Control Panel'!$C$76=0,0,$AA23/'Control Panel'!$C$76),0))</f>
        <v>0</v>
      </c>
      <c r="V23" s="230">
        <f>IF(V$4&lt;$Z23,"",IF(SUM($D23:U23)&lt;$AA23,IF('Control Panel'!$C$76=0,0,$AA23/'Control Panel'!$C$76),0))</f>
        <v>0</v>
      </c>
      <c r="W23" s="230">
        <f>IF(W$4&lt;$Z23,"",IF(SUM($D23:V23)&lt;$AA23,IF('Control Panel'!$C$76=0,0,$AA23/'Control Panel'!$C$76),0))</f>
        <v>0</v>
      </c>
      <c r="X23" s="231">
        <f>IF(X$4&lt;$Z23,"",IF(SUM($D23:W23)&lt;$AA23,IF('Control Panel'!$C$76=0,0,$AA23/'Control Panel'!$C$76),0))</f>
        <v>0</v>
      </c>
      <c r="Y23" s="143"/>
      <c r="Z23" s="232">
        <v>1</v>
      </c>
      <c r="AA23" s="143">
        <f t="array" ref="AA23:AA42">TRANSPOSE(E20:X20)</f>
        <v>437250000</v>
      </c>
    </row>
    <row r="24" spans="2:38" outlineLevel="1">
      <c r="B24" s="191"/>
      <c r="C24" s="37"/>
      <c r="D24" s="37"/>
      <c r="E24" s="233" t="str">
        <f>IF(E$4&lt;$Z24,"",IF(SUM($D24:D24)&lt;$AA24,IF('Control Panel'!$C$76=0,0,$AA24/'Control Panel'!$C$76),0))</f>
        <v/>
      </c>
      <c r="F24" s="234">
        <f>IF(F$4&lt;$Z24,"",IF(SUM($D24:E24)&lt;$AA24,IF('Control Panel'!$C$76=0,0,$AA24/'Control Panel'!$C$76),0))</f>
        <v>29150000</v>
      </c>
      <c r="G24" s="234">
        <f>IF(G$4&lt;$Z24,"",IF(SUM($D24:F24)&lt;$AA24,IF('Control Panel'!$C$76=0,0,$AA24/'Control Panel'!$C$76),0))</f>
        <v>29150000</v>
      </c>
      <c r="H24" s="234">
        <f>IF(H$4&lt;$Z24,"",IF(SUM($D24:G24)&lt;$AA24,IF('Control Panel'!$C$76=0,0,$AA24/'Control Panel'!$C$76),0))</f>
        <v>29150000</v>
      </c>
      <c r="I24" s="234">
        <f>IF(I$4&lt;$Z24,"",IF(SUM($D24:H24)&lt;$AA24,IF('Control Panel'!$C$76=0,0,$AA24/'Control Panel'!$C$76),0))</f>
        <v>29150000</v>
      </c>
      <c r="J24" s="234">
        <f>IF(J$4&lt;$Z24,"",IF(SUM($D24:I24)&lt;$AA24,IF('Control Panel'!$C$76=0,0,$AA24/'Control Panel'!$C$76),0))</f>
        <v>29150000</v>
      </c>
      <c r="K24" s="234">
        <f>IF(K$4&lt;$Z24,"",IF(SUM($D24:J24)&lt;$AA24,IF('Control Panel'!$C$76=0,0,$AA24/'Control Panel'!$C$76),0))</f>
        <v>29150000</v>
      </c>
      <c r="L24" s="234">
        <f>IF(L$4&lt;$Z24,"",IF(SUM($D24:K24)&lt;$AA24,IF('Control Panel'!$C$76=0,0,$AA24/'Control Panel'!$C$76),0))</f>
        <v>29150000</v>
      </c>
      <c r="M24" s="234">
        <f>IF(M$4&lt;$Z24,"",IF(SUM($D24:L24)&lt;$AA24,IF('Control Panel'!$C$76=0,0,$AA24/'Control Panel'!$C$76),0))</f>
        <v>29150000</v>
      </c>
      <c r="N24" s="234">
        <f>IF(N$4&lt;$Z24,"",IF(SUM($D24:M24)&lt;$AA24,IF('Control Panel'!$C$76=0,0,$AA24/'Control Panel'!$C$76),0))</f>
        <v>29150000</v>
      </c>
      <c r="O24" s="234">
        <f>IF(O$4&lt;$Z24,"",IF(SUM($D24:N24)&lt;$AA24,IF('Control Panel'!$C$76=0,0,$AA24/'Control Panel'!$C$76),0))</f>
        <v>29150000</v>
      </c>
      <c r="P24" s="234">
        <f>IF(P$4&lt;$Z24,"",IF(SUM($D24:O24)&lt;$AA24,IF('Control Panel'!$C$76=0,0,$AA24/'Control Panel'!$C$76),0))</f>
        <v>29150000</v>
      </c>
      <c r="Q24" s="234">
        <f>IF(Q$4&lt;$Z24,"",IF(SUM($D24:P24)&lt;$AA24,IF('Control Panel'!$C$76=0,0,$AA24/'Control Panel'!$C$76),0))</f>
        <v>29150000</v>
      </c>
      <c r="R24" s="234">
        <f>IF(R$4&lt;$Z24,"",IF(SUM($D24:Q24)&lt;$AA24,IF('Control Panel'!$C$76=0,0,$AA24/'Control Panel'!$C$76),0))</f>
        <v>29150000</v>
      </c>
      <c r="S24" s="234">
        <f>IF(S$4&lt;$Z24,"",IF(SUM($D24:R24)&lt;$AA24,IF('Control Panel'!$C$76=0,0,$AA24/'Control Panel'!$C$76),0))</f>
        <v>29150000</v>
      </c>
      <c r="T24" s="234">
        <f>IF(T$4&lt;$Z24,"",IF(SUM($D24:S24)&lt;$AA24,IF('Control Panel'!$C$76=0,0,$AA24/'Control Panel'!$C$76),0))</f>
        <v>29150000</v>
      </c>
      <c r="U24" s="234">
        <f>IF(U$4&lt;$Z24,"",IF(SUM($D24:T24)&lt;$AA24,IF('Control Panel'!$C$76=0,0,$AA24/'Control Panel'!$C$76),0))</f>
        <v>0</v>
      </c>
      <c r="V24" s="234">
        <f>IF(V$4&lt;$Z24,"",IF(SUM($D24:U24)&lt;$AA24,IF('Control Panel'!$C$76=0,0,$AA24/'Control Panel'!$C$76),0))</f>
        <v>0</v>
      </c>
      <c r="W24" s="234">
        <f>IF(W$4&lt;$Z24,"",IF(SUM($D24:V24)&lt;$AA24,IF('Control Panel'!$C$76=0,0,$AA24/'Control Panel'!$C$76),0))</f>
        <v>0</v>
      </c>
      <c r="X24" s="235">
        <f>IF(X$4&lt;$Z24,"",IF(SUM($D24:W24)&lt;$AA24,IF('Control Panel'!$C$76=0,0,$AA24/'Control Panel'!$C$76),0))</f>
        <v>0</v>
      </c>
      <c r="Y24" s="143"/>
      <c r="Z24" s="232">
        <f>Z23+1</f>
        <v>2</v>
      </c>
      <c r="AA24" s="143">
        <v>437250000</v>
      </c>
    </row>
    <row r="25" spans="2:38" outlineLevel="1">
      <c r="B25" s="191"/>
      <c r="C25" s="37"/>
      <c r="D25" s="37"/>
      <c r="E25" s="233" t="str">
        <f>IF(E$4&lt;$Z25,"",IF(SUM($D25:D25)&lt;$AA25,IF('Control Panel'!$C$76=0,0,$AA25/'Control Panel'!$C$76),0))</f>
        <v/>
      </c>
      <c r="F25" s="234" t="str">
        <f>IF(F$4&lt;$Z25,"",IF(SUM($D25:E25)&lt;$AA25,IF('Control Panel'!$C$76=0,0,$AA25/'Control Panel'!$C$76),0))</f>
        <v/>
      </c>
      <c r="G25" s="234">
        <f>IF(G$4&lt;$Z25,"",IF(SUM($D25:F25)&lt;$AA25,IF('Control Panel'!$C$76=0,0,$AA25/'Control Panel'!$C$76),0))</f>
        <v>0</v>
      </c>
      <c r="H25" s="234">
        <f>IF(H$4&lt;$Z25,"",IF(SUM($D25:G25)&lt;$AA25,IF('Control Panel'!$C$76=0,0,$AA25/'Control Panel'!$C$76),0))</f>
        <v>0</v>
      </c>
      <c r="I25" s="234">
        <f>IF(I$4&lt;$Z25,"",IF(SUM($D25:H25)&lt;$AA25,IF('Control Panel'!$C$76=0,0,$AA25/'Control Panel'!$C$76),0))</f>
        <v>0</v>
      </c>
      <c r="J25" s="234">
        <f>IF(J$4&lt;$Z25,"",IF(SUM($D25:I25)&lt;$AA25,IF('Control Panel'!$C$76=0,0,$AA25/'Control Panel'!$C$76),0))</f>
        <v>0</v>
      </c>
      <c r="K25" s="234">
        <f>IF(K$4&lt;$Z25,"",IF(SUM($D25:J25)&lt;$AA25,IF('Control Panel'!$C$76=0,0,$AA25/'Control Panel'!$C$76),0))</f>
        <v>0</v>
      </c>
      <c r="L25" s="234">
        <f>IF(L$4&lt;$Z25,"",IF(SUM($D25:K25)&lt;$AA25,IF('Control Panel'!$C$76=0,0,$AA25/'Control Panel'!$C$76),0))</f>
        <v>0</v>
      </c>
      <c r="M25" s="234">
        <f>IF(M$4&lt;$Z25,"",IF(SUM($D25:L25)&lt;$AA25,IF('Control Panel'!$C$76=0,0,$AA25/'Control Panel'!$C$76),0))</f>
        <v>0</v>
      </c>
      <c r="N25" s="234">
        <f>IF(N$4&lt;$Z25,"",IF(SUM($D25:M25)&lt;$AA25,IF('Control Panel'!$C$76=0,0,$AA25/'Control Panel'!$C$76),0))</f>
        <v>0</v>
      </c>
      <c r="O25" s="234">
        <f>IF(O$4&lt;$Z25,"",IF(SUM($D25:N25)&lt;$AA25,IF('Control Panel'!$C$76=0,0,$AA25/'Control Panel'!$C$76),0))</f>
        <v>0</v>
      </c>
      <c r="P25" s="234">
        <f>IF(P$4&lt;$Z25,"",IF(SUM($D25:O25)&lt;$AA25,IF('Control Panel'!$C$76=0,0,$AA25/'Control Panel'!$C$76),0))</f>
        <v>0</v>
      </c>
      <c r="Q25" s="234">
        <f>IF(Q$4&lt;$Z25,"",IF(SUM($D25:P25)&lt;$AA25,IF('Control Panel'!$C$76=0,0,$AA25/'Control Panel'!$C$76),0))</f>
        <v>0</v>
      </c>
      <c r="R25" s="234">
        <f>IF(R$4&lt;$Z25,"",IF(SUM($D25:Q25)&lt;$AA25,IF('Control Panel'!$C$76=0,0,$AA25/'Control Panel'!$C$76),0))</f>
        <v>0</v>
      </c>
      <c r="S25" s="234">
        <f>IF(S$4&lt;$Z25,"",IF(SUM($D25:R25)&lt;$AA25,IF('Control Panel'!$C$76=0,0,$AA25/'Control Panel'!$C$76),0))</f>
        <v>0</v>
      </c>
      <c r="T25" s="234">
        <f>IF(T$4&lt;$Z25,"",IF(SUM($D25:S25)&lt;$AA25,IF('Control Panel'!$C$76=0,0,$AA25/'Control Panel'!$C$76),0))</f>
        <v>0</v>
      </c>
      <c r="U25" s="234">
        <f>IF(U$4&lt;$Z25,"",IF(SUM($D25:T25)&lt;$AA25,IF('Control Panel'!$C$76=0,0,$AA25/'Control Panel'!$C$76),0))</f>
        <v>0</v>
      </c>
      <c r="V25" s="234">
        <f>IF(V$4&lt;$Z25,"",IF(SUM($D25:U25)&lt;$AA25,IF('Control Panel'!$C$76=0,0,$AA25/'Control Panel'!$C$76),0))</f>
        <v>0</v>
      </c>
      <c r="W25" s="234">
        <f>IF(W$4&lt;$Z25,"",IF(SUM($D25:V25)&lt;$AA25,IF('Control Panel'!$C$76=0,0,$AA25/'Control Panel'!$C$76),0))</f>
        <v>0</v>
      </c>
      <c r="X25" s="235">
        <f>IF(X$4&lt;$Z25,"",IF(SUM($D25:W25)&lt;$AA25,IF('Control Panel'!$C$76=0,0,$AA25/'Control Panel'!$C$76),0))</f>
        <v>0</v>
      </c>
      <c r="Y25" s="143"/>
      <c r="Z25" s="232">
        <f t="shared" ref="Z25:Z42" si="8">Z24+1</f>
        <v>3</v>
      </c>
      <c r="AA25" s="143">
        <v>0</v>
      </c>
    </row>
    <row r="26" spans="2:38" outlineLevel="1">
      <c r="B26" s="191"/>
      <c r="C26" s="37"/>
      <c r="D26" s="37"/>
      <c r="E26" s="233" t="str">
        <f>IF(E$4&lt;$Z26,"",IF(SUM($D26:D26)&lt;$AA26,IF('Control Panel'!$C$76=0,0,$AA26/'Control Panel'!$C$76),0))</f>
        <v/>
      </c>
      <c r="F26" s="234" t="str">
        <f>IF(F$4&lt;$Z26,"",IF(SUM($D26:E26)&lt;$AA26,IF('Control Panel'!$C$76=0,0,$AA26/'Control Panel'!$C$76),0))</f>
        <v/>
      </c>
      <c r="G26" s="234" t="str">
        <f>IF(G$4&lt;$Z26,"",IF(SUM($D26:F26)&lt;$AA26,IF('Control Panel'!$C$76=0,0,$AA26/'Control Panel'!$C$76),0))</f>
        <v/>
      </c>
      <c r="H26" s="234">
        <f>IF(H$4&lt;$Z26,"",IF(SUM($D26:G26)&lt;$AA26,IF('Control Panel'!$C$76=0,0,$AA26/'Control Panel'!$C$76),0))</f>
        <v>0</v>
      </c>
      <c r="I26" s="234">
        <f>IF(I$4&lt;$Z26,"",IF(SUM($D26:H26)&lt;$AA26,IF('Control Panel'!$C$76=0,0,$AA26/'Control Panel'!$C$76),0))</f>
        <v>0</v>
      </c>
      <c r="J26" s="234">
        <f>IF(J$4&lt;$Z26,"",IF(SUM($D26:I26)&lt;$AA26,IF('Control Panel'!$C$76=0,0,$AA26/'Control Panel'!$C$76),0))</f>
        <v>0</v>
      </c>
      <c r="K26" s="234">
        <f>IF(K$4&lt;$Z26,"",IF(SUM($D26:J26)&lt;$AA26,IF('Control Panel'!$C$76=0,0,$AA26/'Control Panel'!$C$76),0))</f>
        <v>0</v>
      </c>
      <c r="L26" s="234">
        <f>IF(L$4&lt;$Z26,"",IF(SUM($D26:K26)&lt;$AA26,IF('Control Panel'!$C$76=0,0,$AA26/'Control Panel'!$C$76),0))</f>
        <v>0</v>
      </c>
      <c r="M26" s="234">
        <f>IF(M$4&lt;$Z26,"",IF(SUM($D26:L26)&lt;$AA26,IF('Control Panel'!$C$76=0,0,$AA26/'Control Panel'!$C$76),0))</f>
        <v>0</v>
      </c>
      <c r="N26" s="234">
        <f>IF(N$4&lt;$Z26,"",IF(SUM($D26:M26)&lt;$AA26,IF('Control Panel'!$C$76=0,0,$AA26/'Control Panel'!$C$76),0))</f>
        <v>0</v>
      </c>
      <c r="O26" s="234">
        <f>IF(O$4&lt;$Z26,"",IF(SUM($D26:N26)&lt;$AA26,IF('Control Panel'!$C$76=0,0,$AA26/'Control Panel'!$C$76),0))</f>
        <v>0</v>
      </c>
      <c r="P26" s="234">
        <f>IF(P$4&lt;$Z26,"",IF(SUM($D26:O26)&lt;$AA26,IF('Control Panel'!$C$76=0,0,$AA26/'Control Panel'!$C$76),0))</f>
        <v>0</v>
      </c>
      <c r="Q26" s="234">
        <f>IF(Q$4&lt;$Z26,"",IF(SUM($D26:P26)&lt;$AA26,IF('Control Panel'!$C$76=0,0,$AA26/'Control Panel'!$C$76),0))</f>
        <v>0</v>
      </c>
      <c r="R26" s="234">
        <f>IF(R$4&lt;$Z26,"",IF(SUM($D26:Q26)&lt;$AA26,IF('Control Panel'!$C$76=0,0,$AA26/'Control Panel'!$C$76),0))</f>
        <v>0</v>
      </c>
      <c r="S26" s="234">
        <f>IF(S$4&lt;$Z26,"",IF(SUM($D26:R26)&lt;$AA26,IF('Control Panel'!$C$76=0,0,$AA26/'Control Panel'!$C$76),0))</f>
        <v>0</v>
      </c>
      <c r="T26" s="234">
        <f>IF(T$4&lt;$Z26,"",IF(SUM($D26:S26)&lt;$AA26,IF('Control Panel'!$C$76=0,0,$AA26/'Control Panel'!$C$76),0))</f>
        <v>0</v>
      </c>
      <c r="U26" s="234">
        <f>IF(U$4&lt;$Z26,"",IF(SUM($D26:T26)&lt;$AA26,IF('Control Panel'!$C$76=0,0,$AA26/'Control Panel'!$C$76),0))</f>
        <v>0</v>
      </c>
      <c r="V26" s="234">
        <f>IF(V$4&lt;$Z26,"",IF(SUM($D26:U26)&lt;$AA26,IF('Control Panel'!$C$76=0,0,$AA26/'Control Panel'!$C$76),0))</f>
        <v>0</v>
      </c>
      <c r="W26" s="234">
        <f>IF(W$4&lt;$Z26,"",IF(SUM($D26:V26)&lt;$AA26,IF('Control Panel'!$C$76=0,0,$AA26/'Control Panel'!$C$76),0))</f>
        <v>0</v>
      </c>
      <c r="X26" s="235">
        <f>IF(X$4&lt;$Z26,"",IF(SUM($D26:W26)&lt;$AA26,IF('Control Panel'!$C$76=0,0,$AA26/'Control Panel'!$C$76),0))</f>
        <v>0</v>
      </c>
      <c r="Y26" s="143"/>
      <c r="Z26" s="232">
        <f t="shared" si="8"/>
        <v>4</v>
      </c>
      <c r="AA26" s="143">
        <v>0</v>
      </c>
    </row>
    <row r="27" spans="2:38" outlineLevel="1">
      <c r="B27" s="191"/>
      <c r="C27" s="37"/>
      <c r="D27" s="37"/>
      <c r="E27" s="233" t="str">
        <f>IF(E$4&lt;$Z27,"",IF(SUM($D27:D27)&lt;$AA27,IF('Control Panel'!$C$76=0,0,$AA27/'Control Panel'!$C$76),0))</f>
        <v/>
      </c>
      <c r="F27" s="234" t="str">
        <f>IF(F$4&lt;$Z27,"",IF(SUM($D27:E27)&lt;$AA27,IF('Control Panel'!$C$76=0,0,$AA27/'Control Panel'!$C$76),0))</f>
        <v/>
      </c>
      <c r="G27" s="234" t="str">
        <f>IF(G$4&lt;$Z27,"",IF(SUM($D27:F27)&lt;$AA27,IF('Control Panel'!$C$76=0,0,$AA27/'Control Panel'!$C$76),0))</f>
        <v/>
      </c>
      <c r="H27" s="234" t="str">
        <f>IF(H$4&lt;$Z27,"",IF(SUM($D27:G27)&lt;$AA27,IF('Control Panel'!$C$76=0,0,$AA27/'Control Panel'!$C$76),0))</f>
        <v/>
      </c>
      <c r="I27" s="234">
        <f>IF(I$4&lt;$Z27,"",IF(SUM($D27:H27)&lt;$AA27,IF('Control Panel'!$C$76=0,0,$AA27/'Control Panel'!$C$76),0))</f>
        <v>0</v>
      </c>
      <c r="J27" s="234">
        <f>IF(J$4&lt;$Z27,"",IF(SUM($D27:I27)&lt;$AA27,IF('Control Panel'!$C$76=0,0,$AA27/'Control Panel'!$C$76),0))</f>
        <v>0</v>
      </c>
      <c r="K27" s="234">
        <f>IF(K$4&lt;$Z27,"",IF(SUM($D27:J27)&lt;$AA27,IF('Control Panel'!$C$76=0,0,$AA27/'Control Panel'!$C$76),0))</f>
        <v>0</v>
      </c>
      <c r="L27" s="234">
        <f>IF(L$4&lt;$Z27,"",IF(SUM($D27:K27)&lt;$AA27,IF('Control Panel'!$C$76=0,0,$AA27/'Control Panel'!$C$76),0))</f>
        <v>0</v>
      </c>
      <c r="M27" s="234">
        <f>IF(M$4&lt;$Z27,"",IF(SUM($D27:L27)&lt;$AA27,IF('Control Panel'!$C$76=0,0,$AA27/'Control Panel'!$C$76),0))</f>
        <v>0</v>
      </c>
      <c r="N27" s="234">
        <f>IF(N$4&lt;$Z27,"",IF(SUM($D27:M27)&lt;$AA27,IF('Control Panel'!$C$76=0,0,$AA27/'Control Panel'!$C$76),0))</f>
        <v>0</v>
      </c>
      <c r="O27" s="234">
        <f>IF(O$4&lt;$Z27,"",IF(SUM($D27:N27)&lt;$AA27,IF('Control Panel'!$C$76=0,0,$AA27/'Control Panel'!$C$76),0))</f>
        <v>0</v>
      </c>
      <c r="P27" s="234">
        <f>IF(P$4&lt;$Z27,"",IF(SUM($D27:O27)&lt;$AA27,IF('Control Panel'!$C$76=0,0,$AA27/'Control Panel'!$C$76),0))</f>
        <v>0</v>
      </c>
      <c r="Q27" s="234">
        <f>IF(Q$4&lt;$Z27,"",IF(SUM($D27:P27)&lt;$AA27,IF('Control Panel'!$C$76=0,0,$AA27/'Control Panel'!$C$76),0))</f>
        <v>0</v>
      </c>
      <c r="R27" s="234">
        <f>IF(R$4&lt;$Z27,"",IF(SUM($D27:Q27)&lt;$AA27,IF('Control Panel'!$C$76=0,0,$AA27/'Control Panel'!$C$76),0))</f>
        <v>0</v>
      </c>
      <c r="S27" s="234">
        <f>IF(S$4&lt;$Z27,"",IF(SUM($D27:R27)&lt;$AA27,IF('Control Panel'!$C$76=0,0,$AA27/'Control Panel'!$C$76),0))</f>
        <v>0</v>
      </c>
      <c r="T27" s="234">
        <f>IF(T$4&lt;$Z27,"",IF(SUM($D27:S27)&lt;$AA27,IF('Control Panel'!$C$76=0,0,$AA27/'Control Panel'!$C$76),0))</f>
        <v>0</v>
      </c>
      <c r="U27" s="234">
        <f>IF(U$4&lt;$Z27,"",IF(SUM($D27:T27)&lt;$AA27,IF('Control Panel'!$C$76=0,0,$AA27/'Control Panel'!$C$76),0))</f>
        <v>0</v>
      </c>
      <c r="V27" s="234">
        <f>IF(V$4&lt;$Z27,"",IF(SUM($D27:U27)&lt;$AA27,IF('Control Panel'!$C$76=0,0,$AA27/'Control Panel'!$C$76),0))</f>
        <v>0</v>
      </c>
      <c r="W27" s="234">
        <f>IF(W$4&lt;$Z27,"",IF(SUM($D27:V27)&lt;$AA27,IF('Control Panel'!$C$76=0,0,$AA27/'Control Panel'!$C$76),0))</f>
        <v>0</v>
      </c>
      <c r="X27" s="235">
        <f>IF(X$4&lt;$Z27,"",IF(SUM($D27:W27)&lt;$AA27,IF('Control Panel'!$C$76=0,0,$AA27/'Control Panel'!$C$76),0))</f>
        <v>0</v>
      </c>
      <c r="Y27" s="143"/>
      <c r="Z27" s="232">
        <f t="shared" si="8"/>
        <v>5</v>
      </c>
      <c r="AA27" s="143">
        <v>0</v>
      </c>
    </row>
    <row r="28" spans="2:38" outlineLevel="1">
      <c r="B28" s="191"/>
      <c r="C28" s="37"/>
      <c r="D28" s="37"/>
      <c r="E28" s="233" t="str">
        <f>IF(E$4&lt;$Z28,"",IF(SUM($D28:D28)&lt;$AA28,IF('Control Panel'!$C$76=0,0,$AA28/'Control Panel'!$C$76),0))</f>
        <v/>
      </c>
      <c r="F28" s="234" t="str">
        <f>IF(F$4&lt;$Z28,"",IF(SUM($D28:E28)&lt;$AA28,IF('Control Panel'!$C$76=0,0,$AA28/'Control Panel'!$C$76),0))</f>
        <v/>
      </c>
      <c r="G28" s="234" t="str">
        <f>IF(G$4&lt;$Z28,"",IF(SUM($D28:F28)&lt;$AA28,IF('Control Panel'!$C$76=0,0,$AA28/'Control Panel'!$C$76),0))</f>
        <v/>
      </c>
      <c r="H28" s="234" t="str">
        <f>IF(H$4&lt;$Z28,"",IF(SUM($D28:G28)&lt;$AA28,IF('Control Panel'!$C$76=0,0,$AA28/'Control Panel'!$C$76),0))</f>
        <v/>
      </c>
      <c r="I28" s="234" t="str">
        <f>IF(I$4&lt;$Z28,"",IF(SUM($D28:H28)&lt;$AA28,IF('Control Panel'!$C$76=0,0,$AA28/'Control Panel'!$C$76),0))</f>
        <v/>
      </c>
      <c r="J28" s="234">
        <f>IF(J$4&lt;$Z28,"",IF(SUM($D28:I28)&lt;$AA28,IF('Control Panel'!$C$76=0,0,$AA28/'Control Panel'!$C$76),0))</f>
        <v>0</v>
      </c>
      <c r="K28" s="234">
        <f>IF(K$4&lt;$Z28,"",IF(SUM($D28:J28)&lt;$AA28,IF('Control Panel'!$C$76=0,0,$AA28/'Control Panel'!$C$76),0))</f>
        <v>0</v>
      </c>
      <c r="L28" s="234">
        <f>IF(L$4&lt;$Z28,"",IF(SUM($D28:K28)&lt;$AA28,IF('Control Panel'!$C$76=0,0,$AA28/'Control Panel'!$C$76),0))</f>
        <v>0</v>
      </c>
      <c r="M28" s="234">
        <f>IF(M$4&lt;$Z28,"",IF(SUM($D28:L28)&lt;$AA28,IF('Control Panel'!$C$76=0,0,$AA28/'Control Panel'!$C$76),0))</f>
        <v>0</v>
      </c>
      <c r="N28" s="234">
        <f>IF(N$4&lt;$Z28,"",IF(SUM($D28:M28)&lt;$AA28,IF('Control Panel'!$C$76=0,0,$AA28/'Control Panel'!$C$76),0))</f>
        <v>0</v>
      </c>
      <c r="O28" s="234">
        <f>IF(O$4&lt;$Z28,"",IF(SUM($D28:N28)&lt;$AA28,IF('Control Panel'!$C$76=0,0,$AA28/'Control Panel'!$C$76),0))</f>
        <v>0</v>
      </c>
      <c r="P28" s="234">
        <f>IF(P$4&lt;$Z28,"",IF(SUM($D28:O28)&lt;$AA28,IF('Control Panel'!$C$76=0,0,$AA28/'Control Panel'!$C$76),0))</f>
        <v>0</v>
      </c>
      <c r="Q28" s="234">
        <f>IF(Q$4&lt;$Z28,"",IF(SUM($D28:P28)&lt;$AA28,IF('Control Panel'!$C$76=0,0,$AA28/'Control Panel'!$C$76),0))</f>
        <v>0</v>
      </c>
      <c r="R28" s="234">
        <f>IF(R$4&lt;$Z28,"",IF(SUM($D28:Q28)&lt;$AA28,IF('Control Panel'!$C$76=0,0,$AA28/'Control Panel'!$C$76),0))</f>
        <v>0</v>
      </c>
      <c r="S28" s="234">
        <f>IF(S$4&lt;$Z28,"",IF(SUM($D28:R28)&lt;$AA28,IF('Control Panel'!$C$76=0,0,$AA28/'Control Panel'!$C$76),0))</f>
        <v>0</v>
      </c>
      <c r="T28" s="234">
        <f>IF(T$4&lt;$Z28,"",IF(SUM($D28:S28)&lt;$AA28,IF('Control Panel'!$C$76=0,0,$AA28/'Control Panel'!$C$76),0))</f>
        <v>0</v>
      </c>
      <c r="U28" s="234">
        <f>IF(U$4&lt;$Z28,"",IF(SUM($D28:T28)&lt;$AA28,IF('Control Panel'!$C$76=0,0,$AA28/'Control Panel'!$C$76),0))</f>
        <v>0</v>
      </c>
      <c r="V28" s="234">
        <f>IF(V$4&lt;$Z28,"",IF(SUM($D28:U28)&lt;$AA28,IF('Control Panel'!$C$76=0,0,$AA28/'Control Panel'!$C$76),0))</f>
        <v>0</v>
      </c>
      <c r="W28" s="234">
        <f>IF(W$4&lt;$Z28,"",IF(SUM($D28:V28)&lt;$AA28,IF('Control Panel'!$C$76=0,0,$AA28/'Control Panel'!$C$76),0))</f>
        <v>0</v>
      </c>
      <c r="X28" s="235">
        <f>IF(X$4&lt;$Z28,"",IF(SUM($D28:W28)&lt;$AA28,IF('Control Panel'!$C$76=0,0,$AA28/'Control Panel'!$C$76),0))</f>
        <v>0</v>
      </c>
      <c r="Y28" s="143"/>
      <c r="Z28" s="232">
        <f t="shared" si="8"/>
        <v>6</v>
      </c>
      <c r="AA28" s="143">
        <v>0</v>
      </c>
    </row>
    <row r="29" spans="2:38" outlineLevel="1">
      <c r="B29" s="191"/>
      <c r="C29" s="37"/>
      <c r="D29" s="37"/>
      <c r="E29" s="233" t="str">
        <f>IF(E$4&lt;$Z29,"",IF(SUM($D29:D29)&lt;$AA29,IF('Control Panel'!$C$76=0,0,$AA29/'Control Panel'!$C$76),0))</f>
        <v/>
      </c>
      <c r="F29" s="234" t="str">
        <f>IF(F$4&lt;$Z29,"",IF(SUM($D29:E29)&lt;$AA29,IF('Control Panel'!$C$76=0,0,$AA29/'Control Panel'!$C$76),0))</f>
        <v/>
      </c>
      <c r="G29" s="234" t="str">
        <f>IF(G$4&lt;$Z29,"",IF(SUM($D29:F29)&lt;$AA29,IF('Control Panel'!$C$76=0,0,$AA29/'Control Panel'!$C$76),0))</f>
        <v/>
      </c>
      <c r="H29" s="234" t="str">
        <f>IF(H$4&lt;$Z29,"",IF(SUM($D29:G29)&lt;$AA29,IF('Control Panel'!$C$76=0,0,$AA29/'Control Panel'!$C$76),0))</f>
        <v/>
      </c>
      <c r="I29" s="234" t="str">
        <f>IF(I$4&lt;$Z29,"",IF(SUM($D29:H29)&lt;$AA29,IF('Control Panel'!$C$76=0,0,$AA29/'Control Panel'!$C$76),0))</f>
        <v/>
      </c>
      <c r="J29" s="234" t="str">
        <f>IF(J$4&lt;$Z29,"",IF(SUM($D29:I29)&lt;$AA29,IF('Control Panel'!$C$76=0,0,$AA29/'Control Panel'!$C$76),0))</f>
        <v/>
      </c>
      <c r="K29" s="234">
        <f>IF(K$4&lt;$Z29,"",IF(SUM($D29:J29)&lt;$AA29,IF('Control Panel'!$C$76=0,0,$AA29/'Control Panel'!$C$76),0))</f>
        <v>0</v>
      </c>
      <c r="L29" s="234">
        <f>IF(L$4&lt;$Z29,"",IF(SUM($D29:K29)&lt;$AA29,IF('Control Panel'!$C$76=0,0,$AA29/'Control Panel'!$C$76),0))</f>
        <v>0</v>
      </c>
      <c r="M29" s="234">
        <f>IF(M$4&lt;$Z29,"",IF(SUM($D29:L29)&lt;$AA29,IF('Control Panel'!$C$76=0,0,$AA29/'Control Panel'!$C$76),0))</f>
        <v>0</v>
      </c>
      <c r="N29" s="234">
        <f>IF(N$4&lt;$Z29,"",IF(SUM($D29:M29)&lt;$AA29,IF('Control Panel'!$C$76=0,0,$AA29/'Control Panel'!$C$76),0))</f>
        <v>0</v>
      </c>
      <c r="O29" s="234">
        <f>IF(O$4&lt;$Z29,"",IF(SUM($D29:N29)&lt;$AA29,IF('Control Panel'!$C$76=0,0,$AA29/'Control Panel'!$C$76),0))</f>
        <v>0</v>
      </c>
      <c r="P29" s="234">
        <f>IF(P$4&lt;$Z29,"",IF(SUM($D29:O29)&lt;$AA29,IF('Control Panel'!$C$76=0,0,$AA29/'Control Panel'!$C$76),0))</f>
        <v>0</v>
      </c>
      <c r="Q29" s="234">
        <f>IF(Q$4&lt;$Z29,"",IF(SUM($D29:P29)&lt;$AA29,IF('Control Panel'!$C$76=0,0,$AA29/'Control Panel'!$C$76),0))</f>
        <v>0</v>
      </c>
      <c r="R29" s="234">
        <f>IF(R$4&lt;$Z29,"",IF(SUM($D29:Q29)&lt;$AA29,IF('Control Panel'!$C$76=0,0,$AA29/'Control Panel'!$C$76),0))</f>
        <v>0</v>
      </c>
      <c r="S29" s="234">
        <f>IF(S$4&lt;$Z29,"",IF(SUM($D29:R29)&lt;$AA29,IF('Control Panel'!$C$76=0,0,$AA29/'Control Panel'!$C$76),0))</f>
        <v>0</v>
      </c>
      <c r="T29" s="234">
        <f>IF(T$4&lt;$Z29,"",IF(SUM($D29:S29)&lt;$AA29,IF('Control Panel'!$C$76=0,0,$AA29/'Control Panel'!$C$76),0))</f>
        <v>0</v>
      </c>
      <c r="U29" s="234">
        <f>IF(U$4&lt;$Z29,"",IF(SUM($D29:T29)&lt;$AA29,IF('Control Panel'!$C$76=0,0,$AA29/'Control Panel'!$C$76),0))</f>
        <v>0</v>
      </c>
      <c r="V29" s="234">
        <f>IF(V$4&lt;$Z29,"",IF(SUM($D29:U29)&lt;$AA29,IF('Control Panel'!$C$76=0,0,$AA29/'Control Panel'!$C$76),0))</f>
        <v>0</v>
      </c>
      <c r="W29" s="234">
        <f>IF(W$4&lt;$Z29,"",IF(SUM($D29:V29)&lt;$AA29,IF('Control Panel'!$C$76=0,0,$AA29/'Control Panel'!$C$76),0))</f>
        <v>0</v>
      </c>
      <c r="X29" s="235">
        <f>IF(X$4&lt;$Z29,"",IF(SUM($D29:W29)&lt;$AA29,IF('Control Panel'!$C$76=0,0,$AA29/'Control Panel'!$C$76),0))</f>
        <v>0</v>
      </c>
      <c r="Y29" s="143"/>
      <c r="Z29" s="232">
        <f t="shared" si="8"/>
        <v>7</v>
      </c>
      <c r="AA29" s="143">
        <v>0</v>
      </c>
    </row>
    <row r="30" spans="2:38" outlineLevel="1">
      <c r="B30" s="191"/>
      <c r="C30" s="37"/>
      <c r="D30" s="37"/>
      <c r="E30" s="233" t="str">
        <f>IF(E$4&lt;$Z30,"",IF(SUM($D30:D30)&lt;$AA30,IF('Control Panel'!$C$76=0,0,$AA30/'Control Panel'!$C$76),0))</f>
        <v/>
      </c>
      <c r="F30" s="234" t="str">
        <f>IF(F$4&lt;$Z30,"",IF(SUM($D30:E30)&lt;$AA30,IF('Control Panel'!$C$76=0,0,$AA30/'Control Panel'!$C$76),0))</f>
        <v/>
      </c>
      <c r="G30" s="234" t="str">
        <f>IF(G$4&lt;$Z30,"",IF(SUM($D30:F30)&lt;$AA30,IF('Control Panel'!$C$76=0,0,$AA30/'Control Panel'!$C$76),0))</f>
        <v/>
      </c>
      <c r="H30" s="234" t="str">
        <f>IF(H$4&lt;$Z30,"",IF(SUM($D30:G30)&lt;$AA30,IF('Control Panel'!$C$76=0,0,$AA30/'Control Panel'!$C$76),0))</f>
        <v/>
      </c>
      <c r="I30" s="234" t="str">
        <f>IF(I$4&lt;$Z30,"",IF(SUM($D30:H30)&lt;$AA30,IF('Control Panel'!$C$76=0,0,$AA30/'Control Panel'!$C$76),0))</f>
        <v/>
      </c>
      <c r="J30" s="234" t="str">
        <f>IF(J$4&lt;$Z30,"",IF(SUM($D30:I30)&lt;$AA30,IF('Control Panel'!$C$76=0,0,$AA30/'Control Panel'!$C$76),0))</f>
        <v/>
      </c>
      <c r="K30" s="234" t="str">
        <f>IF(K$4&lt;$Z30,"",IF(SUM($D30:J30)&lt;$AA30,IF('Control Panel'!$C$76=0,0,$AA30/'Control Panel'!$C$76),0))</f>
        <v/>
      </c>
      <c r="L30" s="234">
        <f>IF(L$4&lt;$Z30,"",IF(SUM($D30:K30)&lt;$AA30,IF('Control Panel'!$C$76=0,0,$AA30/'Control Panel'!$C$76),0))</f>
        <v>0</v>
      </c>
      <c r="M30" s="234">
        <f>IF(M$4&lt;$Z30,"",IF(SUM($D30:L30)&lt;$AA30,IF('Control Panel'!$C$76=0,0,$AA30/'Control Panel'!$C$76),0))</f>
        <v>0</v>
      </c>
      <c r="N30" s="234">
        <f>IF(N$4&lt;$Z30,"",IF(SUM($D30:M30)&lt;$AA30,IF('Control Panel'!$C$76=0,0,$AA30/'Control Panel'!$C$76),0))</f>
        <v>0</v>
      </c>
      <c r="O30" s="234">
        <f>IF(O$4&lt;$Z30,"",IF(SUM($D30:N30)&lt;$AA30,IF('Control Panel'!$C$76=0,0,$AA30/'Control Panel'!$C$76),0))</f>
        <v>0</v>
      </c>
      <c r="P30" s="234">
        <f>IF(P$4&lt;$Z30,"",IF(SUM($D30:O30)&lt;$AA30,IF('Control Panel'!$C$76=0,0,$AA30/'Control Panel'!$C$76),0))</f>
        <v>0</v>
      </c>
      <c r="Q30" s="234">
        <f>IF(Q$4&lt;$Z30,"",IF(SUM($D30:P30)&lt;$AA30,IF('Control Panel'!$C$76=0,0,$AA30/'Control Panel'!$C$76),0))</f>
        <v>0</v>
      </c>
      <c r="R30" s="234">
        <f>IF(R$4&lt;$Z30,"",IF(SUM($D30:Q30)&lt;$AA30,IF('Control Panel'!$C$76=0,0,$AA30/'Control Panel'!$C$76),0))</f>
        <v>0</v>
      </c>
      <c r="S30" s="234">
        <f>IF(S$4&lt;$Z30,"",IF(SUM($D30:R30)&lt;$AA30,IF('Control Panel'!$C$76=0,0,$AA30/'Control Panel'!$C$76),0))</f>
        <v>0</v>
      </c>
      <c r="T30" s="234">
        <f>IF(T$4&lt;$Z30,"",IF(SUM($D30:S30)&lt;$AA30,IF('Control Panel'!$C$76=0,0,$AA30/'Control Panel'!$C$76),0))</f>
        <v>0</v>
      </c>
      <c r="U30" s="234">
        <f>IF(U$4&lt;$Z30,"",IF(SUM($D30:T30)&lt;$AA30,IF('Control Panel'!$C$76=0,0,$AA30/'Control Panel'!$C$76),0))</f>
        <v>0</v>
      </c>
      <c r="V30" s="234">
        <f>IF(V$4&lt;$Z30,"",IF(SUM($D30:U30)&lt;$AA30,IF('Control Panel'!$C$76=0,0,$AA30/'Control Panel'!$C$76),0))</f>
        <v>0</v>
      </c>
      <c r="W30" s="234">
        <f>IF(W$4&lt;$Z30,"",IF(SUM($D30:V30)&lt;$AA30,IF('Control Panel'!$C$76=0,0,$AA30/'Control Panel'!$C$76),0))</f>
        <v>0</v>
      </c>
      <c r="X30" s="235">
        <f>IF(X$4&lt;$Z30,"",IF(SUM($D30:W30)&lt;$AA30,IF('Control Panel'!$C$76=0,0,$AA30/'Control Panel'!$C$76),0))</f>
        <v>0</v>
      </c>
      <c r="Y30" s="143"/>
      <c r="Z30" s="232">
        <f t="shared" si="8"/>
        <v>8</v>
      </c>
      <c r="AA30" s="143">
        <v>0</v>
      </c>
    </row>
    <row r="31" spans="2:38" outlineLevel="1">
      <c r="B31" s="191"/>
      <c r="C31" s="37"/>
      <c r="D31" s="37"/>
      <c r="E31" s="233" t="str">
        <f>IF(E$4&lt;$Z31,"",IF(SUM($D31:D31)&lt;$AA31,IF('Control Panel'!$C$76=0,0,$AA31/'Control Panel'!$C$76),0))</f>
        <v/>
      </c>
      <c r="F31" s="234" t="str">
        <f>IF(F$4&lt;$Z31,"",IF(SUM($D31:E31)&lt;$AA31,IF('Control Panel'!$C$76=0,0,$AA31/'Control Panel'!$C$76),0))</f>
        <v/>
      </c>
      <c r="G31" s="234" t="str">
        <f>IF(G$4&lt;$Z31,"",IF(SUM($D31:F31)&lt;$AA31,IF('Control Panel'!$C$76=0,0,$AA31/'Control Panel'!$C$76),0))</f>
        <v/>
      </c>
      <c r="H31" s="234" t="str">
        <f>IF(H$4&lt;$Z31,"",IF(SUM($D31:G31)&lt;$AA31,IF('Control Panel'!$C$76=0,0,$AA31/'Control Panel'!$C$76),0))</f>
        <v/>
      </c>
      <c r="I31" s="234" t="str">
        <f>IF(I$4&lt;$Z31,"",IF(SUM($D31:H31)&lt;$AA31,IF('Control Panel'!$C$76=0,0,$AA31/'Control Panel'!$C$76),0))</f>
        <v/>
      </c>
      <c r="J31" s="234" t="str">
        <f>IF(J$4&lt;$Z31,"",IF(SUM($D31:I31)&lt;$AA31,IF('Control Panel'!$C$76=0,0,$AA31/'Control Panel'!$C$76),0))</f>
        <v/>
      </c>
      <c r="K31" s="234" t="str">
        <f>IF(K$4&lt;$Z31,"",IF(SUM($D31:J31)&lt;$AA31,IF('Control Panel'!$C$76=0,0,$AA31/'Control Panel'!$C$76),0))</f>
        <v/>
      </c>
      <c r="L31" s="234" t="str">
        <f>IF(L$4&lt;$Z31,"",IF(SUM($D31:K31)&lt;$AA31,IF('Control Panel'!$C$76=0,0,$AA31/'Control Panel'!$C$76),0))</f>
        <v/>
      </c>
      <c r="M31" s="234">
        <f>IF(M$4&lt;$Z31,"",IF(SUM($D31:L31)&lt;$AA31,IF('Control Panel'!$C$76=0,0,$AA31/'Control Panel'!$C$76),0))</f>
        <v>0</v>
      </c>
      <c r="N31" s="234">
        <f>IF(N$4&lt;$Z31,"",IF(SUM($D31:M31)&lt;$AA31,IF('Control Panel'!$C$76=0,0,$AA31/'Control Panel'!$C$76),0))</f>
        <v>0</v>
      </c>
      <c r="O31" s="234">
        <f>IF(O$4&lt;$Z31,"",IF(SUM($D31:N31)&lt;$AA31,IF('Control Panel'!$C$76=0,0,$AA31/'Control Panel'!$C$76),0))</f>
        <v>0</v>
      </c>
      <c r="P31" s="234">
        <f>IF(P$4&lt;$Z31,"",IF(SUM($D31:O31)&lt;$AA31,IF('Control Panel'!$C$76=0,0,$AA31/'Control Panel'!$C$76),0))</f>
        <v>0</v>
      </c>
      <c r="Q31" s="234">
        <f>IF(Q$4&lt;$Z31,"",IF(SUM($D31:P31)&lt;$AA31,IF('Control Panel'!$C$76=0,0,$AA31/'Control Panel'!$C$76),0))</f>
        <v>0</v>
      </c>
      <c r="R31" s="234">
        <f>IF(R$4&lt;$Z31,"",IF(SUM($D31:Q31)&lt;$AA31,IF('Control Panel'!$C$76=0,0,$AA31/'Control Panel'!$C$76),0))</f>
        <v>0</v>
      </c>
      <c r="S31" s="234">
        <f>IF(S$4&lt;$Z31,"",IF(SUM($D31:R31)&lt;$AA31,IF('Control Panel'!$C$76=0,0,$AA31/'Control Panel'!$C$76),0))</f>
        <v>0</v>
      </c>
      <c r="T31" s="234">
        <f>IF(T$4&lt;$Z31,"",IF(SUM($D31:S31)&lt;$AA31,IF('Control Panel'!$C$76=0,0,$AA31/'Control Panel'!$C$76),0))</f>
        <v>0</v>
      </c>
      <c r="U31" s="234">
        <f>IF(U$4&lt;$Z31,"",IF(SUM($D31:T31)&lt;$AA31,IF('Control Panel'!$C$76=0,0,$AA31/'Control Panel'!$C$76),0))</f>
        <v>0</v>
      </c>
      <c r="V31" s="234">
        <f>IF(V$4&lt;$Z31,"",IF(SUM($D31:U31)&lt;$AA31,IF('Control Panel'!$C$76=0,0,$AA31/'Control Panel'!$C$76),0))</f>
        <v>0</v>
      </c>
      <c r="W31" s="234">
        <f>IF(W$4&lt;$Z31,"",IF(SUM($D31:V31)&lt;$AA31,IF('Control Panel'!$C$76=0,0,$AA31/'Control Panel'!$C$76),0))</f>
        <v>0</v>
      </c>
      <c r="X31" s="235">
        <f>IF(X$4&lt;$Z31,"",IF(SUM($D31:W31)&lt;$AA31,IF('Control Panel'!$C$76=0,0,$AA31/'Control Panel'!$C$76),0))</f>
        <v>0</v>
      </c>
      <c r="Y31" s="143"/>
      <c r="Z31" s="232">
        <f t="shared" si="8"/>
        <v>9</v>
      </c>
      <c r="AA31" s="143">
        <v>0</v>
      </c>
    </row>
    <row r="32" spans="2:38" outlineLevel="1">
      <c r="C32" s="37"/>
      <c r="D32" s="37"/>
      <c r="E32" s="233" t="str">
        <f>IF(E$4&lt;$Z32,"",IF(SUM($D32:D32)&lt;$AA32,IF('Control Panel'!$C$76=0,0,$AA32/'Control Panel'!$C$76),0))</f>
        <v/>
      </c>
      <c r="F32" s="234" t="str">
        <f>IF(F$4&lt;$Z32,"",IF(SUM($D32:E32)&lt;$AA32,IF('Control Panel'!$C$76=0,0,$AA32/'Control Panel'!$C$76),0))</f>
        <v/>
      </c>
      <c r="G32" s="234" t="str">
        <f>IF(G$4&lt;$Z32,"",IF(SUM($D32:F32)&lt;$AA32,IF('Control Panel'!$C$76=0,0,$AA32/'Control Panel'!$C$76),0))</f>
        <v/>
      </c>
      <c r="H32" s="234" t="str">
        <f>IF(H$4&lt;$Z32,"",IF(SUM($D32:G32)&lt;$AA32,IF('Control Panel'!$C$76=0,0,$AA32/'Control Panel'!$C$76),0))</f>
        <v/>
      </c>
      <c r="I32" s="234" t="str">
        <f>IF(I$4&lt;$Z32,"",IF(SUM($D32:H32)&lt;$AA32,IF('Control Panel'!$C$76=0,0,$AA32/'Control Panel'!$C$76),0))</f>
        <v/>
      </c>
      <c r="J32" s="234" t="str">
        <f>IF(J$4&lt;$Z32,"",IF(SUM($D32:I32)&lt;$AA32,IF('Control Panel'!$C$76=0,0,$AA32/'Control Panel'!$C$76),0))</f>
        <v/>
      </c>
      <c r="K32" s="234" t="str">
        <f>IF(K$4&lt;$Z32,"",IF(SUM($D32:J32)&lt;$AA32,IF('Control Panel'!$C$76=0,0,$AA32/'Control Panel'!$C$76),0))</f>
        <v/>
      </c>
      <c r="L32" s="234" t="str">
        <f>IF(L$4&lt;$Z32,"",IF(SUM($D32:K32)&lt;$AA32,IF('Control Panel'!$C$76=0,0,$AA32/'Control Panel'!$C$76),0))</f>
        <v/>
      </c>
      <c r="M32" s="234" t="str">
        <f>IF(M$4&lt;$Z32,"",IF(SUM($D32:L32)&lt;$AA32,IF('Control Panel'!$C$76=0,0,$AA32/'Control Panel'!$C$76),0))</f>
        <v/>
      </c>
      <c r="N32" s="234">
        <f>IF(N$4&lt;$Z32,"",IF(SUM($D32:M32)&lt;$AA32,IF('Control Panel'!$C$76=0,0,$AA32/'Control Panel'!$C$76),0))</f>
        <v>0</v>
      </c>
      <c r="O32" s="234">
        <f>IF(O$4&lt;$Z32,"",IF(SUM($D32:N32)&lt;$AA32,IF('Control Panel'!$C$76=0,0,$AA32/'Control Panel'!$C$76),0))</f>
        <v>0</v>
      </c>
      <c r="P32" s="234">
        <f>IF(P$4&lt;$Z32,"",IF(SUM($D32:O32)&lt;$AA32,IF('Control Panel'!$C$76=0,0,$AA32/'Control Panel'!$C$76),0))</f>
        <v>0</v>
      </c>
      <c r="Q32" s="234">
        <f>IF(Q$4&lt;$Z32,"",IF(SUM($D32:P32)&lt;$AA32,IF('Control Panel'!$C$76=0,0,$AA32/'Control Panel'!$C$76),0))</f>
        <v>0</v>
      </c>
      <c r="R32" s="234">
        <f>IF(R$4&lt;$Z32,"",IF(SUM($D32:Q32)&lt;$AA32,IF('Control Panel'!$C$76=0,0,$AA32/'Control Panel'!$C$76),0))</f>
        <v>0</v>
      </c>
      <c r="S32" s="234">
        <f>IF(S$4&lt;$Z32,"",IF(SUM($D32:R32)&lt;$AA32,IF('Control Panel'!$C$76=0,0,$AA32/'Control Panel'!$C$76),0))</f>
        <v>0</v>
      </c>
      <c r="T32" s="234">
        <f>IF(T$4&lt;$Z32,"",IF(SUM($D32:S32)&lt;$AA32,IF('Control Panel'!$C$76=0,0,$AA32/'Control Panel'!$C$76),0))</f>
        <v>0</v>
      </c>
      <c r="U32" s="234">
        <f>IF(U$4&lt;$Z32,"",IF(SUM($D32:T32)&lt;$AA32,IF('Control Panel'!$C$76=0,0,$AA32/'Control Panel'!$C$76),0))</f>
        <v>0</v>
      </c>
      <c r="V32" s="234">
        <f>IF(V$4&lt;$Z32,"",IF(SUM($D32:U32)&lt;$AA32,IF('Control Panel'!$C$76=0,0,$AA32/'Control Panel'!$C$76),0))</f>
        <v>0</v>
      </c>
      <c r="W32" s="234">
        <f>IF(W$4&lt;$Z32,"",IF(SUM($D32:V32)&lt;$AA32,IF('Control Panel'!$C$76=0,0,$AA32/'Control Panel'!$C$76),0))</f>
        <v>0</v>
      </c>
      <c r="X32" s="235">
        <f>IF(X$4&lt;$Z32,"",IF(SUM($D32:W32)&lt;$AA32,IF('Control Panel'!$C$76=0,0,$AA32/'Control Panel'!$C$76),0))</f>
        <v>0</v>
      </c>
      <c r="Y32" s="143"/>
      <c r="Z32" s="232">
        <f t="shared" si="8"/>
        <v>10</v>
      </c>
      <c r="AA32" s="143">
        <v>0</v>
      </c>
    </row>
    <row r="33" spans="2:38" outlineLevel="1">
      <c r="C33" s="37"/>
      <c r="D33" s="37"/>
      <c r="E33" s="233" t="str">
        <f>IF(E$4&lt;$Z33,"",IF(SUM($D33:D33)&lt;$AA33,IF('Control Panel'!$C$76=0,0,$AA33/'Control Panel'!$C$76),0))</f>
        <v/>
      </c>
      <c r="F33" s="234" t="str">
        <f>IF(F$4&lt;$Z33,"",IF(SUM($D33:E33)&lt;$AA33,IF('Control Panel'!$C$76=0,0,$AA33/'Control Panel'!$C$76),0))</f>
        <v/>
      </c>
      <c r="G33" s="234" t="str">
        <f>IF(G$4&lt;$Z33,"",IF(SUM($D33:F33)&lt;$AA33,IF('Control Panel'!$C$76=0,0,$AA33/'Control Panel'!$C$76),0))</f>
        <v/>
      </c>
      <c r="H33" s="234" t="str">
        <f>IF(H$4&lt;$Z33,"",IF(SUM($D33:G33)&lt;$AA33,IF('Control Panel'!$C$76=0,0,$AA33/'Control Panel'!$C$76),0))</f>
        <v/>
      </c>
      <c r="I33" s="234" t="str">
        <f>IF(I$4&lt;$Z33,"",IF(SUM($D33:H33)&lt;$AA33,IF('Control Panel'!$C$76=0,0,$AA33/'Control Panel'!$C$76),0))</f>
        <v/>
      </c>
      <c r="J33" s="234" t="str">
        <f>IF(J$4&lt;$Z33,"",IF(SUM($D33:I33)&lt;$AA33,IF('Control Panel'!$C$76=0,0,$AA33/'Control Panel'!$C$76),0))</f>
        <v/>
      </c>
      <c r="K33" s="234" t="str">
        <f>IF(K$4&lt;$Z33,"",IF(SUM($D33:J33)&lt;$AA33,IF('Control Panel'!$C$76=0,0,$AA33/'Control Panel'!$C$76),0))</f>
        <v/>
      </c>
      <c r="L33" s="234" t="str">
        <f>IF(L$4&lt;$Z33,"",IF(SUM($D33:K33)&lt;$AA33,IF('Control Panel'!$C$76=0,0,$AA33/'Control Panel'!$C$76),0))</f>
        <v/>
      </c>
      <c r="M33" s="234" t="str">
        <f>IF(M$4&lt;$Z33,"",IF(SUM($D33:L33)&lt;$AA33,IF('Control Panel'!$C$76=0,0,$AA33/'Control Panel'!$C$76),0))</f>
        <v/>
      </c>
      <c r="N33" s="234" t="str">
        <f>IF(N$4&lt;$Z33,"",IF(SUM($D33:M33)&lt;$AA33,IF('Control Panel'!$C$76=0,0,$AA33/'Control Panel'!$C$76),0))</f>
        <v/>
      </c>
      <c r="O33" s="234">
        <f>IF(O$4&lt;$Z33,"",IF(SUM($D33:N33)&lt;$AA33,IF('Control Panel'!$C$76=0,0,$AA33/'Control Panel'!$C$76),0))</f>
        <v>0</v>
      </c>
      <c r="P33" s="234">
        <f>IF(P$4&lt;$Z33,"",IF(SUM($D33:O33)&lt;$AA33,IF('Control Panel'!$C$76=0,0,$AA33/'Control Panel'!$C$76),0))</f>
        <v>0</v>
      </c>
      <c r="Q33" s="234">
        <f>IF(Q$4&lt;$Z33,"",IF(SUM($D33:P33)&lt;$AA33,IF('Control Panel'!$C$76=0,0,$AA33/'Control Panel'!$C$76),0))</f>
        <v>0</v>
      </c>
      <c r="R33" s="234">
        <f>IF(R$4&lt;$Z33,"",IF(SUM($D33:Q33)&lt;$AA33,IF('Control Panel'!$C$76=0,0,$AA33/'Control Panel'!$C$76),0))</f>
        <v>0</v>
      </c>
      <c r="S33" s="234">
        <f>IF(S$4&lt;$Z33,"",IF(SUM($D33:R33)&lt;$AA33,IF('Control Panel'!$C$76=0,0,$AA33/'Control Panel'!$C$76),0))</f>
        <v>0</v>
      </c>
      <c r="T33" s="234">
        <f>IF(T$4&lt;$Z33,"",IF(SUM($D33:S33)&lt;$AA33,IF('Control Panel'!$C$76=0,0,$AA33/'Control Panel'!$C$76),0))</f>
        <v>0</v>
      </c>
      <c r="U33" s="234">
        <f>IF(U$4&lt;$Z33,"",IF(SUM($D33:T33)&lt;$AA33,IF('Control Panel'!$C$76=0,0,$AA33/'Control Panel'!$C$76),0))</f>
        <v>0</v>
      </c>
      <c r="V33" s="234">
        <f>IF(V$4&lt;$Z33,"",IF(SUM($D33:U33)&lt;$AA33,IF('Control Panel'!$C$76=0,0,$AA33/'Control Panel'!$C$76),0))</f>
        <v>0</v>
      </c>
      <c r="W33" s="234">
        <f>IF(W$4&lt;$Z33,"",IF(SUM($D33:V33)&lt;$AA33,IF('Control Panel'!$C$76=0,0,$AA33/'Control Panel'!$C$76),0))</f>
        <v>0</v>
      </c>
      <c r="X33" s="235">
        <f>IF(X$4&lt;$Z33,"",IF(SUM($D33:W33)&lt;$AA33,IF('Control Panel'!$C$76=0,0,$AA33/'Control Panel'!$C$76),0))</f>
        <v>0</v>
      </c>
      <c r="Y33" s="143"/>
      <c r="Z33" s="232">
        <f t="shared" si="8"/>
        <v>11</v>
      </c>
      <c r="AA33" s="143">
        <v>0</v>
      </c>
    </row>
    <row r="34" spans="2:38" outlineLevel="1">
      <c r="C34" s="37"/>
      <c r="D34" s="37"/>
      <c r="E34" s="233" t="str">
        <f>IF(E$4&lt;$Z34,"",IF(SUM($D34:D34)&lt;$AA34,IF('Control Panel'!$C$76=0,0,$AA34/'Control Panel'!$C$76),0))</f>
        <v/>
      </c>
      <c r="F34" s="234" t="str">
        <f>IF(F$4&lt;$Z34,"",IF(SUM($D34:E34)&lt;$AA34,IF('Control Panel'!$C$76=0,0,$AA34/'Control Panel'!$C$76),0))</f>
        <v/>
      </c>
      <c r="G34" s="234" t="str">
        <f>IF(G$4&lt;$Z34,"",IF(SUM($D34:F34)&lt;$AA34,IF('Control Panel'!$C$76=0,0,$AA34/'Control Panel'!$C$76),0))</f>
        <v/>
      </c>
      <c r="H34" s="234" t="str">
        <f>IF(H$4&lt;$Z34,"",IF(SUM($D34:G34)&lt;$AA34,IF('Control Panel'!$C$76=0,0,$AA34/'Control Panel'!$C$76),0))</f>
        <v/>
      </c>
      <c r="I34" s="234" t="str">
        <f>IF(I$4&lt;$Z34,"",IF(SUM($D34:H34)&lt;$AA34,IF('Control Panel'!$C$76=0,0,$AA34/'Control Panel'!$C$76),0))</f>
        <v/>
      </c>
      <c r="J34" s="234" t="str">
        <f>IF(J$4&lt;$Z34,"",IF(SUM($D34:I34)&lt;$AA34,IF('Control Panel'!$C$76=0,0,$AA34/'Control Panel'!$C$76),0))</f>
        <v/>
      </c>
      <c r="K34" s="234" t="str">
        <f>IF(K$4&lt;$Z34,"",IF(SUM($D34:J34)&lt;$AA34,IF('Control Panel'!$C$76=0,0,$AA34/'Control Panel'!$C$76),0))</f>
        <v/>
      </c>
      <c r="L34" s="234" t="str">
        <f>IF(L$4&lt;$Z34,"",IF(SUM($D34:K34)&lt;$AA34,IF('Control Panel'!$C$76=0,0,$AA34/'Control Panel'!$C$76),0))</f>
        <v/>
      </c>
      <c r="M34" s="234" t="str">
        <f>IF(M$4&lt;$Z34,"",IF(SUM($D34:L34)&lt;$AA34,IF('Control Panel'!$C$76=0,0,$AA34/'Control Panel'!$C$76),0))</f>
        <v/>
      </c>
      <c r="N34" s="234" t="str">
        <f>IF(N$4&lt;$Z34,"",IF(SUM($D34:M34)&lt;$AA34,IF('Control Panel'!$C$76=0,0,$AA34/'Control Panel'!$C$76),0))</f>
        <v/>
      </c>
      <c r="O34" s="234" t="str">
        <f>IF(O$4&lt;$Z34,"",IF(SUM($D34:N34)&lt;$AA34,IF('Control Panel'!$C$76=0,0,$AA34/'Control Panel'!$C$76),0))</f>
        <v/>
      </c>
      <c r="P34" s="234">
        <f>IF(P$4&lt;$Z34,"",IF(SUM($D34:O34)&lt;$AA34,IF('Control Panel'!$C$76=0,0,$AA34/'Control Panel'!$C$76),0))</f>
        <v>0</v>
      </c>
      <c r="Q34" s="234">
        <f>IF(Q$4&lt;$Z34,"",IF(SUM($D34:P34)&lt;$AA34,IF('Control Panel'!$C$76=0,0,$AA34/'Control Panel'!$C$76),0))</f>
        <v>0</v>
      </c>
      <c r="R34" s="234">
        <f>IF(R$4&lt;$Z34,"",IF(SUM($D34:Q34)&lt;$AA34,IF('Control Panel'!$C$76=0,0,$AA34/'Control Panel'!$C$76),0))</f>
        <v>0</v>
      </c>
      <c r="S34" s="234">
        <f>IF(S$4&lt;$Z34,"",IF(SUM($D34:R34)&lt;$AA34,IF('Control Panel'!$C$76=0,0,$AA34/'Control Panel'!$C$76),0))</f>
        <v>0</v>
      </c>
      <c r="T34" s="234">
        <f>IF(T$4&lt;$Z34,"",IF(SUM($D34:S34)&lt;$AA34,IF('Control Panel'!$C$76=0,0,$AA34/'Control Panel'!$C$76),0))</f>
        <v>0</v>
      </c>
      <c r="U34" s="234">
        <f>IF(U$4&lt;$Z34,"",IF(SUM($D34:T34)&lt;$AA34,IF('Control Panel'!$C$76=0,0,$AA34/'Control Panel'!$C$76),0))</f>
        <v>0</v>
      </c>
      <c r="V34" s="234">
        <f>IF(V$4&lt;$Z34,"",IF(SUM($D34:U34)&lt;$AA34,IF('Control Panel'!$C$76=0,0,$AA34/'Control Panel'!$C$76),0))</f>
        <v>0</v>
      </c>
      <c r="W34" s="234">
        <f>IF(W$4&lt;$Z34,"",IF(SUM($D34:V34)&lt;$AA34,IF('Control Panel'!$C$76=0,0,$AA34/'Control Panel'!$C$76),0))</f>
        <v>0</v>
      </c>
      <c r="X34" s="235">
        <f>IF(X$4&lt;$Z34,"",IF(SUM($D34:W34)&lt;$AA34,IF('Control Panel'!$C$76=0,0,$AA34/'Control Panel'!$C$76),0))</f>
        <v>0</v>
      </c>
      <c r="Y34" s="143"/>
      <c r="Z34" s="232">
        <f t="shared" si="8"/>
        <v>12</v>
      </c>
      <c r="AA34" s="143">
        <v>0</v>
      </c>
    </row>
    <row r="35" spans="2:38" outlineLevel="1">
      <c r="C35" s="37"/>
      <c r="D35" s="37"/>
      <c r="E35" s="233" t="str">
        <f>IF(E$4&lt;$Z35,"",IF(SUM($D35:D35)&lt;$AA35,IF('Control Panel'!$C$76=0,0,$AA35/'Control Panel'!$C$76),0))</f>
        <v/>
      </c>
      <c r="F35" s="234" t="str">
        <f>IF(F$4&lt;$Z35,"",IF(SUM($D35:E35)&lt;$AA35,IF('Control Panel'!$C$76=0,0,$AA35/'Control Panel'!$C$76),0))</f>
        <v/>
      </c>
      <c r="G35" s="234" t="str">
        <f>IF(G$4&lt;$Z35,"",IF(SUM($D35:F35)&lt;$AA35,IF('Control Panel'!$C$76=0,0,$AA35/'Control Panel'!$C$76),0))</f>
        <v/>
      </c>
      <c r="H35" s="234" t="str">
        <f>IF(H$4&lt;$Z35,"",IF(SUM($D35:G35)&lt;$AA35,IF('Control Panel'!$C$76=0,0,$AA35/'Control Panel'!$C$76),0))</f>
        <v/>
      </c>
      <c r="I35" s="234" t="str">
        <f>IF(I$4&lt;$Z35,"",IF(SUM($D35:H35)&lt;$AA35,IF('Control Panel'!$C$76=0,0,$AA35/'Control Panel'!$C$76),0))</f>
        <v/>
      </c>
      <c r="J35" s="234" t="str">
        <f>IF(J$4&lt;$Z35,"",IF(SUM($D35:I35)&lt;$AA35,IF('Control Panel'!$C$76=0,0,$AA35/'Control Panel'!$C$76),0))</f>
        <v/>
      </c>
      <c r="K35" s="234" t="str">
        <f>IF(K$4&lt;$Z35,"",IF(SUM($D35:J35)&lt;$AA35,IF('Control Panel'!$C$76=0,0,$AA35/'Control Panel'!$C$76),0))</f>
        <v/>
      </c>
      <c r="L35" s="234" t="str">
        <f>IF(L$4&lt;$Z35,"",IF(SUM($D35:K35)&lt;$AA35,IF('Control Panel'!$C$76=0,0,$AA35/'Control Panel'!$C$76),0))</f>
        <v/>
      </c>
      <c r="M35" s="234" t="str">
        <f>IF(M$4&lt;$Z35,"",IF(SUM($D35:L35)&lt;$AA35,IF('Control Panel'!$C$76=0,0,$AA35/'Control Panel'!$C$76),0))</f>
        <v/>
      </c>
      <c r="N35" s="234" t="str">
        <f>IF(N$4&lt;$Z35,"",IF(SUM($D35:M35)&lt;$AA35,IF('Control Panel'!$C$76=0,0,$AA35/'Control Panel'!$C$76),0))</f>
        <v/>
      </c>
      <c r="O35" s="234" t="str">
        <f>IF(O$4&lt;$Z35,"",IF(SUM($D35:N35)&lt;$AA35,IF('Control Panel'!$C$76=0,0,$AA35/'Control Panel'!$C$76),0))</f>
        <v/>
      </c>
      <c r="P35" s="234" t="str">
        <f>IF(P$4&lt;$Z35,"",IF(SUM($D35:O35)&lt;$AA35,IF('Control Panel'!$C$76=0,0,$AA35/'Control Panel'!$C$76),0))</f>
        <v/>
      </c>
      <c r="Q35" s="234">
        <f>IF(Q$4&lt;$Z35,"",IF(SUM($D35:P35)&lt;$AA35,IF('Control Panel'!$C$76=0,0,$AA35/'Control Panel'!$C$76),0))</f>
        <v>0</v>
      </c>
      <c r="R35" s="234">
        <f>IF(R$4&lt;$Z35,"",IF(SUM($D35:Q35)&lt;$AA35,IF('Control Panel'!$C$76=0,0,$AA35/'Control Panel'!$C$76),0))</f>
        <v>0</v>
      </c>
      <c r="S35" s="234">
        <f>IF(S$4&lt;$Z35,"",IF(SUM($D35:R35)&lt;$AA35,IF('Control Panel'!$C$76=0,0,$AA35/'Control Panel'!$C$76),0))</f>
        <v>0</v>
      </c>
      <c r="T35" s="234">
        <f>IF(T$4&lt;$Z35,"",IF(SUM($D35:S35)&lt;$AA35,IF('Control Panel'!$C$76=0,0,$AA35/'Control Panel'!$C$76),0))</f>
        <v>0</v>
      </c>
      <c r="U35" s="234">
        <f>IF(U$4&lt;$Z35,"",IF(SUM($D35:T35)&lt;$AA35,IF('Control Panel'!$C$76=0,0,$AA35/'Control Panel'!$C$76),0))</f>
        <v>0</v>
      </c>
      <c r="V35" s="234">
        <f>IF(V$4&lt;$Z35,"",IF(SUM($D35:U35)&lt;$AA35,IF('Control Panel'!$C$76=0,0,$AA35/'Control Panel'!$C$76),0))</f>
        <v>0</v>
      </c>
      <c r="W35" s="234">
        <f>IF(W$4&lt;$Z35,"",IF(SUM($D35:V35)&lt;$AA35,IF('Control Panel'!$C$76=0,0,$AA35/'Control Panel'!$C$76),0))</f>
        <v>0</v>
      </c>
      <c r="X35" s="235">
        <f>IF(X$4&lt;$Z35,"",IF(SUM($D35:W35)&lt;$AA35,IF('Control Panel'!$C$76=0,0,$AA35/'Control Panel'!$C$76),0))</f>
        <v>0</v>
      </c>
      <c r="Y35" s="143"/>
      <c r="Z35" s="232">
        <f t="shared" si="8"/>
        <v>13</v>
      </c>
      <c r="AA35" s="143">
        <v>0</v>
      </c>
    </row>
    <row r="36" spans="2:38" outlineLevel="1">
      <c r="C36" s="37"/>
      <c r="D36" s="37"/>
      <c r="E36" s="233" t="str">
        <f>IF(E$4&lt;$Z36,"",IF(SUM($D36:D36)&lt;$AA36,IF('Control Panel'!$C$76=0,0,$AA36/'Control Panel'!$C$76),0))</f>
        <v/>
      </c>
      <c r="F36" s="234" t="str">
        <f>IF(F$4&lt;$Z36,"",IF(SUM($D36:E36)&lt;$AA36,IF('Control Panel'!$C$76=0,0,$AA36/'Control Panel'!$C$76),0))</f>
        <v/>
      </c>
      <c r="G36" s="234" t="str">
        <f>IF(G$4&lt;$Z36,"",IF(SUM($D36:F36)&lt;$AA36,IF('Control Panel'!$C$76=0,0,$AA36/'Control Panel'!$C$76),0))</f>
        <v/>
      </c>
      <c r="H36" s="234" t="str">
        <f>IF(H$4&lt;$Z36,"",IF(SUM($D36:G36)&lt;$AA36,IF('Control Panel'!$C$76=0,0,$AA36/'Control Panel'!$C$76),0))</f>
        <v/>
      </c>
      <c r="I36" s="234" t="str">
        <f>IF(I$4&lt;$Z36,"",IF(SUM($D36:H36)&lt;$AA36,IF('Control Panel'!$C$76=0,0,$AA36/'Control Panel'!$C$76),0))</f>
        <v/>
      </c>
      <c r="J36" s="234" t="str">
        <f>IF(J$4&lt;$Z36,"",IF(SUM($D36:I36)&lt;$AA36,IF('Control Panel'!$C$76=0,0,$AA36/'Control Panel'!$C$76),0))</f>
        <v/>
      </c>
      <c r="K36" s="234" t="str">
        <f>IF(K$4&lt;$Z36,"",IF(SUM($D36:J36)&lt;$AA36,IF('Control Panel'!$C$76=0,0,$AA36/'Control Panel'!$C$76),0))</f>
        <v/>
      </c>
      <c r="L36" s="234" t="str">
        <f>IF(L$4&lt;$Z36,"",IF(SUM($D36:K36)&lt;$AA36,IF('Control Panel'!$C$76=0,0,$AA36/'Control Panel'!$C$76),0))</f>
        <v/>
      </c>
      <c r="M36" s="234" t="str">
        <f>IF(M$4&lt;$Z36,"",IF(SUM($D36:L36)&lt;$AA36,IF('Control Panel'!$C$76=0,0,$AA36/'Control Panel'!$C$76),0))</f>
        <v/>
      </c>
      <c r="N36" s="234" t="str">
        <f>IF(N$4&lt;$Z36,"",IF(SUM($D36:M36)&lt;$AA36,IF('Control Panel'!$C$76=0,0,$AA36/'Control Panel'!$C$76),0))</f>
        <v/>
      </c>
      <c r="O36" s="234" t="str">
        <f>IF(O$4&lt;$Z36,"",IF(SUM($D36:N36)&lt;$AA36,IF('Control Panel'!$C$76=0,0,$AA36/'Control Panel'!$C$76),0))</f>
        <v/>
      </c>
      <c r="P36" s="234" t="str">
        <f>IF(P$4&lt;$Z36,"",IF(SUM($D36:O36)&lt;$AA36,IF('Control Panel'!$C$76=0,0,$AA36/'Control Panel'!$C$76),0))</f>
        <v/>
      </c>
      <c r="Q36" s="234" t="str">
        <f>IF(Q$4&lt;$Z36,"",IF(SUM($D36:P36)&lt;$AA36,IF('Control Panel'!$C$76=0,0,$AA36/'Control Panel'!$C$76),0))</f>
        <v/>
      </c>
      <c r="R36" s="234">
        <f>IF(R$4&lt;$Z36,"",IF(SUM($D36:Q36)&lt;$AA36,IF('Control Panel'!$C$76=0,0,$AA36/'Control Panel'!$C$76),0))</f>
        <v>0</v>
      </c>
      <c r="S36" s="234">
        <f>IF(S$4&lt;$Z36,"",IF(SUM($D36:R36)&lt;$AA36,IF('Control Panel'!$C$76=0,0,$AA36/'Control Panel'!$C$76),0))</f>
        <v>0</v>
      </c>
      <c r="T36" s="234">
        <f>IF(T$4&lt;$Z36,"",IF(SUM($D36:S36)&lt;$AA36,IF('Control Panel'!$C$76=0,0,$AA36/'Control Panel'!$C$76),0))</f>
        <v>0</v>
      </c>
      <c r="U36" s="234">
        <f>IF(U$4&lt;$Z36,"",IF(SUM($D36:T36)&lt;$AA36,IF('Control Panel'!$C$76=0,0,$AA36/'Control Panel'!$C$76),0))</f>
        <v>0</v>
      </c>
      <c r="V36" s="234">
        <f>IF(V$4&lt;$Z36,"",IF(SUM($D36:U36)&lt;$AA36,IF('Control Panel'!$C$76=0,0,$AA36/'Control Panel'!$C$76),0))</f>
        <v>0</v>
      </c>
      <c r="W36" s="234">
        <f>IF(W$4&lt;$Z36,"",IF(SUM($D36:V36)&lt;$AA36,IF('Control Panel'!$C$76=0,0,$AA36/'Control Panel'!$C$76),0))</f>
        <v>0</v>
      </c>
      <c r="X36" s="235">
        <f>IF(X$4&lt;$Z36,"",IF(SUM($D36:W36)&lt;$AA36,IF('Control Panel'!$C$76=0,0,$AA36/'Control Panel'!$C$76),0))</f>
        <v>0</v>
      </c>
      <c r="Y36" s="143"/>
      <c r="Z36" s="232">
        <f t="shared" si="8"/>
        <v>14</v>
      </c>
      <c r="AA36" s="143">
        <v>0</v>
      </c>
    </row>
    <row r="37" spans="2:38" outlineLevel="1">
      <c r="B37" s="191"/>
      <c r="C37" s="37"/>
      <c r="D37" s="37"/>
      <c r="E37" s="233" t="str">
        <f>IF(E$4&lt;$Z37,"",IF(SUM($D37:D37)&lt;$AA37,IF('Control Panel'!$C$76=0,0,$AA37/'Control Panel'!$C$76),0))</f>
        <v/>
      </c>
      <c r="F37" s="234" t="str">
        <f>IF(F$4&lt;$Z37,"",IF(SUM($D37:E37)&lt;$AA37,IF('Control Panel'!$C$76=0,0,$AA37/'Control Panel'!$C$76),0))</f>
        <v/>
      </c>
      <c r="G37" s="234" t="str">
        <f>IF(G$4&lt;$Z37,"",IF(SUM($D37:F37)&lt;$AA37,IF('Control Panel'!$C$76=0,0,$AA37/'Control Panel'!$C$76),0))</f>
        <v/>
      </c>
      <c r="H37" s="234" t="str">
        <f>IF(H$4&lt;$Z37,"",IF(SUM($D37:G37)&lt;$AA37,IF('Control Panel'!$C$76=0,0,$AA37/'Control Panel'!$C$76),0))</f>
        <v/>
      </c>
      <c r="I37" s="234" t="str">
        <f>IF(I$4&lt;$Z37,"",IF(SUM($D37:H37)&lt;$AA37,IF('Control Panel'!$C$76=0,0,$AA37/'Control Panel'!$C$76),0))</f>
        <v/>
      </c>
      <c r="J37" s="234" t="str">
        <f>IF(J$4&lt;$Z37,"",IF(SUM($D37:I37)&lt;$AA37,IF('Control Panel'!$C$76=0,0,$AA37/'Control Panel'!$C$76),0))</f>
        <v/>
      </c>
      <c r="K37" s="234" t="str">
        <f>IF(K$4&lt;$Z37,"",IF(SUM($D37:J37)&lt;$AA37,IF('Control Panel'!$C$76=0,0,$AA37/'Control Panel'!$C$76),0))</f>
        <v/>
      </c>
      <c r="L37" s="234" t="str">
        <f>IF(L$4&lt;$Z37,"",IF(SUM($D37:K37)&lt;$AA37,IF('Control Panel'!$C$76=0,0,$AA37/'Control Panel'!$C$76),0))</f>
        <v/>
      </c>
      <c r="M37" s="234" t="str">
        <f>IF(M$4&lt;$Z37,"",IF(SUM($D37:L37)&lt;$AA37,IF('Control Panel'!$C$76=0,0,$AA37/'Control Panel'!$C$76),0))</f>
        <v/>
      </c>
      <c r="N37" s="234" t="str">
        <f>IF(N$4&lt;$Z37,"",IF(SUM($D37:M37)&lt;$AA37,IF('Control Panel'!$C$76=0,0,$AA37/'Control Panel'!$C$76),0))</f>
        <v/>
      </c>
      <c r="O37" s="234" t="str">
        <f>IF(O$4&lt;$Z37,"",IF(SUM($D37:N37)&lt;$AA37,IF('Control Panel'!$C$76=0,0,$AA37/'Control Panel'!$C$76),0))</f>
        <v/>
      </c>
      <c r="P37" s="234" t="str">
        <f>IF(P$4&lt;$Z37,"",IF(SUM($D37:O37)&lt;$AA37,IF('Control Panel'!$C$76=0,0,$AA37/'Control Panel'!$C$76),0))</f>
        <v/>
      </c>
      <c r="Q37" s="234" t="str">
        <f>IF(Q$4&lt;$Z37,"",IF(SUM($D37:P37)&lt;$AA37,IF('Control Panel'!$C$76=0,0,$AA37/'Control Panel'!$C$76),0))</f>
        <v/>
      </c>
      <c r="R37" s="234" t="str">
        <f>IF(R$4&lt;$Z37,"",IF(SUM($D37:Q37)&lt;$AA37,IF('Control Panel'!$C$76=0,0,$AA37/'Control Panel'!$C$76),0))</f>
        <v/>
      </c>
      <c r="S37" s="234">
        <f>IF(S$4&lt;$Z37,"",IF(SUM($D37:R37)&lt;$AA37,IF('Control Panel'!$C$76=0,0,$AA37/'Control Panel'!$C$76),0))</f>
        <v>0</v>
      </c>
      <c r="T37" s="234">
        <f>IF(T$4&lt;$Z37,"",IF(SUM($D37:S37)&lt;$AA37,IF('Control Panel'!$C$76=0,0,$AA37/'Control Panel'!$C$76),0))</f>
        <v>0</v>
      </c>
      <c r="U37" s="234">
        <f>IF(U$4&lt;$Z37,"",IF(SUM($D37:T37)&lt;$AA37,IF('Control Panel'!$C$76=0,0,$AA37/'Control Panel'!$C$76),0))</f>
        <v>0</v>
      </c>
      <c r="V37" s="234">
        <f>IF(V$4&lt;$Z37,"",IF(SUM($D37:U37)&lt;$AA37,IF('Control Panel'!$C$76=0,0,$AA37/'Control Panel'!$C$76),0))</f>
        <v>0</v>
      </c>
      <c r="W37" s="234">
        <f>IF(W$4&lt;$Z37,"",IF(SUM($D37:V37)&lt;$AA37,IF('Control Panel'!$C$76=0,0,$AA37/'Control Panel'!$C$76),0))</f>
        <v>0</v>
      </c>
      <c r="X37" s="235">
        <f>IF(X$4&lt;$Z37,"",IF(SUM($D37:W37)&lt;$AA37,IF('Control Panel'!$C$76=0,0,$AA37/'Control Panel'!$C$76),0))</f>
        <v>0</v>
      </c>
      <c r="Y37" s="143"/>
      <c r="Z37" s="232">
        <f t="shared" si="8"/>
        <v>15</v>
      </c>
      <c r="AA37" s="143">
        <v>0</v>
      </c>
    </row>
    <row r="38" spans="2:38" outlineLevel="1">
      <c r="B38" s="191"/>
      <c r="C38" s="37"/>
      <c r="D38" s="37"/>
      <c r="E38" s="233" t="str">
        <f>IF(E$4&lt;$Z38,"",IF(SUM($D38:D38)&lt;$AA38,IF('Control Panel'!$C$76=0,0,$AA38/'Control Panel'!$C$76),0))</f>
        <v/>
      </c>
      <c r="F38" s="234" t="str">
        <f>IF(F$4&lt;$Z38,"",IF(SUM($D38:E38)&lt;$AA38,IF('Control Panel'!$C$76=0,0,$AA38/'Control Panel'!$C$76),0))</f>
        <v/>
      </c>
      <c r="G38" s="234" t="str">
        <f>IF(G$4&lt;$Z38,"",IF(SUM($D38:F38)&lt;$AA38,IF('Control Panel'!$C$76=0,0,$AA38/'Control Panel'!$C$76),0))</f>
        <v/>
      </c>
      <c r="H38" s="234" t="str">
        <f>IF(H$4&lt;$Z38,"",IF(SUM($D38:G38)&lt;$AA38,IF('Control Panel'!$C$76=0,0,$AA38/'Control Panel'!$C$76),0))</f>
        <v/>
      </c>
      <c r="I38" s="234" t="str">
        <f>IF(I$4&lt;$Z38,"",IF(SUM($D38:H38)&lt;$AA38,IF('Control Panel'!$C$76=0,0,$AA38/'Control Panel'!$C$76),0))</f>
        <v/>
      </c>
      <c r="J38" s="234" t="str">
        <f>IF(J$4&lt;$Z38,"",IF(SUM($D38:I38)&lt;$AA38,IF('Control Panel'!$C$76=0,0,$AA38/'Control Panel'!$C$76),0))</f>
        <v/>
      </c>
      <c r="K38" s="234" t="str">
        <f>IF(K$4&lt;$Z38,"",IF(SUM($D38:J38)&lt;$AA38,IF('Control Panel'!$C$76=0,0,$AA38/'Control Panel'!$C$76),0))</f>
        <v/>
      </c>
      <c r="L38" s="234" t="str">
        <f>IF(L$4&lt;$Z38,"",IF(SUM($D38:K38)&lt;$AA38,IF('Control Panel'!$C$76=0,0,$AA38/'Control Panel'!$C$76),0))</f>
        <v/>
      </c>
      <c r="M38" s="234" t="str">
        <f>IF(M$4&lt;$Z38,"",IF(SUM($D38:L38)&lt;$AA38,IF('Control Panel'!$C$76=0,0,$AA38/'Control Panel'!$C$76),0))</f>
        <v/>
      </c>
      <c r="N38" s="234" t="str">
        <f>IF(N$4&lt;$Z38,"",IF(SUM($D38:M38)&lt;$AA38,IF('Control Panel'!$C$76=0,0,$AA38/'Control Panel'!$C$76),0))</f>
        <v/>
      </c>
      <c r="O38" s="234" t="str">
        <f>IF(O$4&lt;$Z38,"",IF(SUM($D38:N38)&lt;$AA38,IF('Control Panel'!$C$76=0,0,$AA38/'Control Panel'!$C$76),0))</f>
        <v/>
      </c>
      <c r="P38" s="234" t="str">
        <f>IF(P$4&lt;$Z38,"",IF(SUM($D38:O38)&lt;$AA38,IF('Control Panel'!$C$76=0,0,$AA38/'Control Panel'!$C$76),0))</f>
        <v/>
      </c>
      <c r="Q38" s="234" t="str">
        <f>IF(Q$4&lt;$Z38,"",IF(SUM($D38:P38)&lt;$AA38,IF('Control Panel'!$C$76=0,0,$AA38/'Control Panel'!$C$76),0))</f>
        <v/>
      </c>
      <c r="R38" s="234" t="str">
        <f>IF(R$4&lt;$Z38,"",IF(SUM($D38:Q38)&lt;$AA38,IF('Control Panel'!$C$76=0,0,$AA38/'Control Panel'!$C$76),0))</f>
        <v/>
      </c>
      <c r="S38" s="234" t="str">
        <f>IF(S$4&lt;$Z38,"",IF(SUM($D38:R38)&lt;$AA38,IF('Control Panel'!$C$76=0,0,$AA38/'Control Panel'!$C$76),0))</f>
        <v/>
      </c>
      <c r="T38" s="234">
        <f>IF(T$4&lt;$Z38,"",IF(SUM($D38:S38)&lt;$AA38,IF('Control Panel'!$C$76=0,0,$AA38/'Control Panel'!$C$76),0))</f>
        <v>0</v>
      </c>
      <c r="U38" s="234">
        <f>IF(U$4&lt;$Z38,"",IF(SUM($D38:T38)&lt;$AA38,IF('Control Panel'!$C$76=0,0,$AA38/'Control Panel'!$C$76),0))</f>
        <v>0</v>
      </c>
      <c r="V38" s="234">
        <f>IF(V$4&lt;$Z38,"",IF(SUM($D38:U38)&lt;$AA38,IF('Control Panel'!$C$76=0,0,$AA38/'Control Panel'!$C$76),0))</f>
        <v>0</v>
      </c>
      <c r="W38" s="234">
        <f>IF(W$4&lt;$Z38,"",IF(SUM($D38:V38)&lt;$AA38,IF('Control Panel'!$C$76=0,0,$AA38/'Control Panel'!$C$76),0))</f>
        <v>0</v>
      </c>
      <c r="X38" s="235">
        <f>IF(X$4&lt;$Z38,"",IF(SUM($D38:W38)&lt;$AA38,IF('Control Panel'!$C$76=0,0,$AA38/'Control Panel'!$C$76),0))</f>
        <v>0</v>
      </c>
      <c r="Y38" s="143"/>
      <c r="Z38" s="232">
        <f t="shared" si="8"/>
        <v>16</v>
      </c>
      <c r="AA38" s="143">
        <v>0</v>
      </c>
    </row>
    <row r="39" spans="2:38" outlineLevel="1">
      <c r="B39" s="191"/>
      <c r="C39" s="37"/>
      <c r="D39" s="37"/>
      <c r="E39" s="233" t="str">
        <f>IF(E$4&lt;$Z39,"",IF(SUM($D39:D39)&lt;$AA39,IF('Control Panel'!$C$76=0,0,$AA39/'Control Panel'!$C$76),0))</f>
        <v/>
      </c>
      <c r="F39" s="234" t="str">
        <f>IF(F$4&lt;$Z39,"",IF(SUM($D39:E39)&lt;$AA39,IF('Control Panel'!$C$76=0,0,$AA39/'Control Panel'!$C$76),0))</f>
        <v/>
      </c>
      <c r="G39" s="234" t="str">
        <f>IF(G$4&lt;$Z39,"",IF(SUM($D39:F39)&lt;$AA39,IF('Control Panel'!$C$76=0,0,$AA39/'Control Panel'!$C$76),0))</f>
        <v/>
      </c>
      <c r="H39" s="234" t="str">
        <f>IF(H$4&lt;$Z39,"",IF(SUM($D39:G39)&lt;$AA39,IF('Control Panel'!$C$76=0,0,$AA39/'Control Panel'!$C$76),0))</f>
        <v/>
      </c>
      <c r="I39" s="234" t="str">
        <f>IF(I$4&lt;$Z39,"",IF(SUM($D39:H39)&lt;$AA39,IF('Control Panel'!$C$76=0,0,$AA39/'Control Panel'!$C$76),0))</f>
        <v/>
      </c>
      <c r="J39" s="234" t="str">
        <f>IF(J$4&lt;$Z39,"",IF(SUM($D39:I39)&lt;$AA39,IF('Control Panel'!$C$76=0,0,$AA39/'Control Panel'!$C$76),0))</f>
        <v/>
      </c>
      <c r="K39" s="234" t="str">
        <f>IF(K$4&lt;$Z39,"",IF(SUM($D39:J39)&lt;$AA39,IF('Control Panel'!$C$76=0,0,$AA39/'Control Panel'!$C$76),0))</f>
        <v/>
      </c>
      <c r="L39" s="234" t="str">
        <f>IF(L$4&lt;$Z39,"",IF(SUM($D39:K39)&lt;$AA39,IF('Control Panel'!$C$76=0,0,$AA39/'Control Panel'!$C$76),0))</f>
        <v/>
      </c>
      <c r="M39" s="234" t="str">
        <f>IF(M$4&lt;$Z39,"",IF(SUM($D39:L39)&lt;$AA39,IF('Control Panel'!$C$76=0,0,$AA39/'Control Panel'!$C$76),0))</f>
        <v/>
      </c>
      <c r="N39" s="234" t="str">
        <f>IF(N$4&lt;$Z39,"",IF(SUM($D39:M39)&lt;$AA39,IF('Control Panel'!$C$76=0,0,$AA39/'Control Panel'!$C$76),0))</f>
        <v/>
      </c>
      <c r="O39" s="234" t="str">
        <f>IF(O$4&lt;$Z39,"",IF(SUM($D39:N39)&lt;$AA39,IF('Control Panel'!$C$76=0,0,$AA39/'Control Panel'!$C$76),0))</f>
        <v/>
      </c>
      <c r="P39" s="234" t="str">
        <f>IF(P$4&lt;$Z39,"",IF(SUM($D39:O39)&lt;$AA39,IF('Control Panel'!$C$76=0,0,$AA39/'Control Panel'!$C$76),0))</f>
        <v/>
      </c>
      <c r="Q39" s="234" t="str">
        <f>IF(Q$4&lt;$Z39,"",IF(SUM($D39:P39)&lt;$AA39,IF('Control Panel'!$C$76=0,0,$AA39/'Control Panel'!$C$76),0))</f>
        <v/>
      </c>
      <c r="R39" s="234" t="str">
        <f>IF(R$4&lt;$Z39,"",IF(SUM($D39:Q39)&lt;$AA39,IF('Control Panel'!$C$76=0,0,$AA39/'Control Panel'!$C$76),0))</f>
        <v/>
      </c>
      <c r="S39" s="234" t="str">
        <f>IF(S$4&lt;$Z39,"",IF(SUM($D39:R39)&lt;$AA39,IF('Control Panel'!$C$76=0,0,$AA39/'Control Panel'!$C$76),0))</f>
        <v/>
      </c>
      <c r="T39" s="234" t="str">
        <f>IF(T$4&lt;$Z39,"",IF(SUM($D39:S39)&lt;$AA39,IF('Control Panel'!$C$76=0,0,$AA39/'Control Panel'!$C$76),0))</f>
        <v/>
      </c>
      <c r="U39" s="234">
        <f>IF(U$4&lt;$Z39,"",IF(SUM($D39:T39)&lt;$AA39,IF('Control Panel'!$C$76=0,0,$AA39/'Control Panel'!$C$76),0))</f>
        <v>0</v>
      </c>
      <c r="V39" s="234">
        <f>IF(V$4&lt;$Z39,"",IF(SUM($D39:U39)&lt;$AA39,IF('Control Panel'!$C$76=0,0,$AA39/'Control Panel'!$C$76),0))</f>
        <v>0</v>
      </c>
      <c r="W39" s="234">
        <f>IF(W$4&lt;$Z39,"",IF(SUM($D39:V39)&lt;$AA39,IF('Control Panel'!$C$76=0,0,$AA39/'Control Panel'!$C$76),0))</f>
        <v>0</v>
      </c>
      <c r="X39" s="235">
        <f>IF(X$4&lt;$Z39,"",IF(SUM($D39:W39)&lt;$AA39,IF('Control Panel'!$C$76=0,0,$AA39/'Control Panel'!$C$76),0))</f>
        <v>0</v>
      </c>
      <c r="Y39" s="143"/>
      <c r="Z39" s="232">
        <f t="shared" si="8"/>
        <v>17</v>
      </c>
      <c r="AA39" s="143">
        <v>0</v>
      </c>
    </row>
    <row r="40" spans="2:38" outlineLevel="1">
      <c r="B40" s="6"/>
      <c r="C40" s="196"/>
      <c r="D40" s="196"/>
      <c r="E40" s="233" t="str">
        <f>IF(E$4&lt;$Z40,"",IF(SUM($D40:D40)&lt;$AA40,IF('Control Panel'!$C$76=0,0,$AA40/'Control Panel'!$C$76),0))</f>
        <v/>
      </c>
      <c r="F40" s="234" t="str">
        <f>IF(F$4&lt;$Z40,"",IF(SUM($D40:E40)&lt;$AA40,IF('Control Panel'!$C$76=0,0,$AA40/'Control Panel'!$C$76),0))</f>
        <v/>
      </c>
      <c r="G40" s="234" t="str">
        <f>IF(G$4&lt;$Z40,"",IF(SUM($D40:F40)&lt;$AA40,IF('Control Panel'!$C$76=0,0,$AA40/'Control Panel'!$C$76),0))</f>
        <v/>
      </c>
      <c r="H40" s="234" t="str">
        <f>IF(H$4&lt;$Z40,"",IF(SUM($D40:G40)&lt;$AA40,IF('Control Panel'!$C$76=0,0,$AA40/'Control Panel'!$C$76),0))</f>
        <v/>
      </c>
      <c r="I40" s="234" t="str">
        <f>IF(I$4&lt;$Z40,"",IF(SUM($D40:H40)&lt;$AA40,IF('Control Panel'!$C$76=0,0,$AA40/'Control Panel'!$C$76),0))</f>
        <v/>
      </c>
      <c r="J40" s="234" t="str">
        <f>IF(J$4&lt;$Z40,"",IF(SUM($D40:I40)&lt;$AA40,IF('Control Panel'!$C$76=0,0,$AA40/'Control Panel'!$C$76),0))</f>
        <v/>
      </c>
      <c r="K40" s="234" t="str">
        <f>IF(K$4&lt;$Z40,"",IF(SUM($D40:J40)&lt;$AA40,IF('Control Panel'!$C$76=0,0,$AA40/'Control Panel'!$C$76),0))</f>
        <v/>
      </c>
      <c r="L40" s="234" t="str">
        <f>IF(L$4&lt;$Z40,"",IF(SUM($D40:K40)&lt;$AA40,IF('Control Panel'!$C$76=0,0,$AA40/'Control Panel'!$C$76),0))</f>
        <v/>
      </c>
      <c r="M40" s="234" t="str">
        <f>IF(M$4&lt;$Z40,"",IF(SUM($D40:L40)&lt;$AA40,IF('Control Panel'!$C$76=0,0,$AA40/'Control Panel'!$C$76),0))</f>
        <v/>
      </c>
      <c r="N40" s="234" t="str">
        <f>IF(N$4&lt;$Z40,"",IF(SUM($D40:M40)&lt;$AA40,IF('Control Panel'!$C$76=0,0,$AA40/'Control Panel'!$C$76),0))</f>
        <v/>
      </c>
      <c r="O40" s="234" t="str">
        <f>IF(O$4&lt;$Z40,"",IF(SUM($D40:N40)&lt;$AA40,IF('Control Panel'!$C$76=0,0,$AA40/'Control Panel'!$C$76),0))</f>
        <v/>
      </c>
      <c r="P40" s="234" t="str">
        <f>IF(P$4&lt;$Z40,"",IF(SUM($D40:O40)&lt;$AA40,IF('Control Panel'!$C$76=0,0,$AA40/'Control Panel'!$C$76),0))</f>
        <v/>
      </c>
      <c r="Q40" s="234" t="str">
        <f>IF(Q$4&lt;$Z40,"",IF(SUM($D40:P40)&lt;$AA40,IF('Control Panel'!$C$76=0,0,$AA40/'Control Panel'!$C$76),0))</f>
        <v/>
      </c>
      <c r="R40" s="234" t="str">
        <f>IF(R$4&lt;$Z40,"",IF(SUM($D40:Q40)&lt;$AA40,IF('Control Panel'!$C$76=0,0,$AA40/'Control Panel'!$C$76),0))</f>
        <v/>
      </c>
      <c r="S40" s="234" t="str">
        <f>IF(S$4&lt;$Z40,"",IF(SUM($D40:R40)&lt;$AA40,IF('Control Panel'!$C$76=0,0,$AA40/'Control Panel'!$C$76),0))</f>
        <v/>
      </c>
      <c r="T40" s="234" t="str">
        <f>IF(T$4&lt;$Z40,"",IF(SUM($D40:S40)&lt;$AA40,IF('Control Panel'!$C$76=0,0,$AA40/'Control Panel'!$C$76),0))</f>
        <v/>
      </c>
      <c r="U40" s="234" t="str">
        <f>IF(U$4&lt;$Z40,"",IF(SUM($D40:T40)&lt;$AA40,IF('Control Panel'!$C$76=0,0,$AA40/'Control Panel'!$C$76),0))</f>
        <v/>
      </c>
      <c r="V40" s="234">
        <f>IF(V$4&lt;$Z40,"",IF(SUM($D40:U40)&lt;$AA40,IF('Control Panel'!$C$76=0,0,$AA40/'Control Panel'!$C$76),0))</f>
        <v>0</v>
      </c>
      <c r="W40" s="234">
        <f>IF(W$4&lt;$Z40,"",IF(SUM($D40:V40)&lt;$AA40,IF('Control Panel'!$C$76=0,0,$AA40/'Control Panel'!$C$76),0))</f>
        <v>0</v>
      </c>
      <c r="X40" s="235">
        <f>IF(X$4&lt;$Z40,"",IF(SUM($D40:W40)&lt;$AA40,IF('Control Panel'!$C$76=0,0,$AA40/'Control Panel'!$C$76),0))</f>
        <v>0</v>
      </c>
      <c r="Y40" s="143"/>
      <c r="Z40" s="232">
        <f t="shared" si="8"/>
        <v>18</v>
      </c>
      <c r="AA40" s="143">
        <v>0</v>
      </c>
    </row>
    <row r="41" spans="2:38" outlineLevel="1">
      <c r="C41" s="37"/>
      <c r="D41" s="37"/>
      <c r="E41" s="233" t="str">
        <f>IF(E$4&lt;$Z41,"",IF(SUM($D41:D41)&lt;$AA41,IF('Control Panel'!$C$76=0,0,$AA41/'Control Panel'!$C$76),0))</f>
        <v/>
      </c>
      <c r="F41" s="234" t="str">
        <f>IF(F$4&lt;$Z41,"",IF(SUM($D41:E41)&lt;$AA41,IF('Control Panel'!$C$76=0,0,$AA41/'Control Panel'!$C$76),0))</f>
        <v/>
      </c>
      <c r="G41" s="234" t="str">
        <f>IF(G$4&lt;$Z41,"",IF(SUM($D41:F41)&lt;$AA41,IF('Control Panel'!$C$76=0,0,$AA41/'Control Panel'!$C$76),0))</f>
        <v/>
      </c>
      <c r="H41" s="234" t="str">
        <f>IF(H$4&lt;$Z41,"",IF(SUM($D41:G41)&lt;$AA41,IF('Control Panel'!$C$76=0,0,$AA41/'Control Panel'!$C$76),0))</f>
        <v/>
      </c>
      <c r="I41" s="234" t="str">
        <f>IF(I$4&lt;$Z41,"",IF(SUM($D41:H41)&lt;$AA41,IF('Control Panel'!$C$76=0,0,$AA41/'Control Panel'!$C$76),0))</f>
        <v/>
      </c>
      <c r="J41" s="234" t="str">
        <f>IF(J$4&lt;$Z41,"",IF(SUM($D41:I41)&lt;$AA41,IF('Control Panel'!$C$76=0,0,$AA41/'Control Panel'!$C$76),0))</f>
        <v/>
      </c>
      <c r="K41" s="234" t="str">
        <f>IF(K$4&lt;$Z41,"",IF(SUM($D41:J41)&lt;$AA41,IF('Control Panel'!$C$76=0,0,$AA41/'Control Panel'!$C$76),0))</f>
        <v/>
      </c>
      <c r="L41" s="234" t="str">
        <f>IF(L$4&lt;$Z41,"",IF(SUM($D41:K41)&lt;$AA41,IF('Control Panel'!$C$76=0,0,$AA41/'Control Panel'!$C$76),0))</f>
        <v/>
      </c>
      <c r="M41" s="234" t="str">
        <f>IF(M$4&lt;$Z41,"",IF(SUM($D41:L41)&lt;$AA41,IF('Control Panel'!$C$76=0,0,$AA41/'Control Panel'!$C$76),0))</f>
        <v/>
      </c>
      <c r="N41" s="234" t="str">
        <f>IF(N$4&lt;$Z41,"",IF(SUM($D41:M41)&lt;$AA41,IF('Control Panel'!$C$76=0,0,$AA41/'Control Panel'!$C$76),0))</f>
        <v/>
      </c>
      <c r="O41" s="234" t="str">
        <f>IF(O$4&lt;$Z41,"",IF(SUM($D41:N41)&lt;$AA41,IF('Control Panel'!$C$76=0,0,$AA41/'Control Panel'!$C$76),0))</f>
        <v/>
      </c>
      <c r="P41" s="234" t="str">
        <f>IF(P$4&lt;$Z41,"",IF(SUM($D41:O41)&lt;$AA41,IF('Control Panel'!$C$76=0,0,$AA41/'Control Panel'!$C$76),0))</f>
        <v/>
      </c>
      <c r="Q41" s="234" t="str">
        <f>IF(Q$4&lt;$Z41,"",IF(SUM($D41:P41)&lt;$AA41,IF('Control Panel'!$C$76=0,0,$AA41/'Control Panel'!$C$76),0))</f>
        <v/>
      </c>
      <c r="R41" s="234" t="str">
        <f>IF(R$4&lt;$Z41,"",IF(SUM($D41:Q41)&lt;$AA41,IF('Control Panel'!$C$76=0,0,$AA41/'Control Panel'!$C$76),0))</f>
        <v/>
      </c>
      <c r="S41" s="234" t="str">
        <f>IF(S$4&lt;$Z41,"",IF(SUM($D41:R41)&lt;$AA41,IF('Control Panel'!$C$76=0,0,$AA41/'Control Panel'!$C$76),0))</f>
        <v/>
      </c>
      <c r="T41" s="234" t="str">
        <f>IF(T$4&lt;$Z41,"",IF(SUM($D41:S41)&lt;$AA41,IF('Control Panel'!$C$76=0,0,$AA41/'Control Panel'!$C$76),0))</f>
        <v/>
      </c>
      <c r="U41" s="234" t="str">
        <f>IF(U$4&lt;$Z41,"",IF(SUM($D41:T41)&lt;$AA41,IF('Control Panel'!$C$76=0,0,$AA41/'Control Panel'!$C$76),0))</f>
        <v/>
      </c>
      <c r="V41" s="234" t="str">
        <f>IF(V$4&lt;$Z41,"",IF(SUM($D41:U41)&lt;$AA41,IF('Control Panel'!$C$76=0,0,$AA41/'Control Panel'!$C$76),0))</f>
        <v/>
      </c>
      <c r="W41" s="234">
        <f>IF(W$4&lt;$Z41,"",IF(SUM($D41:V41)&lt;$AA41,IF('Control Panel'!$C$76=0,0,$AA41/'Control Panel'!$C$76),0))</f>
        <v>0</v>
      </c>
      <c r="X41" s="235">
        <f>IF(X$4&lt;$Z41,"",IF(SUM($D41:W41)&lt;$AA41,IF('Control Panel'!$C$76=0,0,$AA41/'Control Panel'!$C$76),0))</f>
        <v>0</v>
      </c>
      <c r="Y41" s="143"/>
      <c r="Z41" s="232">
        <f t="shared" si="8"/>
        <v>19</v>
      </c>
      <c r="AA41" s="143">
        <v>0</v>
      </c>
    </row>
    <row r="42" spans="2:38" outlineLevel="1">
      <c r="C42" s="37"/>
      <c r="D42" s="37"/>
      <c r="E42" s="237" t="str">
        <f>IF(E$4&lt;$Z42,"",IF(SUM($D42:D42)&lt;$AA42,IF('Control Panel'!$C$76=0,0,$AA42/'Control Panel'!$C$76),0))</f>
        <v/>
      </c>
      <c r="F42" s="158" t="str">
        <f>IF(F$4&lt;$Z42,"",IF(SUM($D42:E42)&lt;$AA42,IF('Control Panel'!$C$76=0,0,$AA42/'Control Panel'!$C$76),0))</f>
        <v/>
      </c>
      <c r="G42" s="158" t="str">
        <f>IF(G$4&lt;$Z42,"",IF(SUM($D42:F42)&lt;$AA42,IF('Control Panel'!$C$76=0,0,$AA42/'Control Panel'!$C$76),0))</f>
        <v/>
      </c>
      <c r="H42" s="158" t="str">
        <f>IF(H$4&lt;$Z42,"",IF(SUM($D42:G42)&lt;$AA42,IF('Control Panel'!$C$76=0,0,$AA42/'Control Panel'!$C$76),0))</f>
        <v/>
      </c>
      <c r="I42" s="158" t="str">
        <f>IF(I$4&lt;$Z42,"",IF(SUM($D42:H42)&lt;$AA42,IF('Control Panel'!$C$76=0,0,$AA42/'Control Panel'!$C$76),0))</f>
        <v/>
      </c>
      <c r="J42" s="158" t="str">
        <f>IF(J$4&lt;$Z42,"",IF(SUM($D42:I42)&lt;$AA42,IF('Control Panel'!$C$76=0,0,$AA42/'Control Panel'!$C$76),0))</f>
        <v/>
      </c>
      <c r="K42" s="158" t="str">
        <f>IF(K$4&lt;$Z42,"",IF(SUM($D42:J42)&lt;$AA42,IF('Control Panel'!$C$76=0,0,$AA42/'Control Panel'!$C$76),0))</f>
        <v/>
      </c>
      <c r="L42" s="158" t="str">
        <f>IF(L$4&lt;$Z42,"",IF(SUM($D42:K42)&lt;$AA42,IF('Control Panel'!$C$76=0,0,$AA42/'Control Panel'!$C$76),0))</f>
        <v/>
      </c>
      <c r="M42" s="158" t="str">
        <f>IF(M$4&lt;$Z42,"",IF(SUM($D42:L42)&lt;$AA42,IF('Control Panel'!$C$76=0,0,$AA42/'Control Panel'!$C$76),0))</f>
        <v/>
      </c>
      <c r="N42" s="158" t="str">
        <f>IF(N$4&lt;$Z42,"",IF(SUM($D42:M42)&lt;$AA42,IF('Control Panel'!$C$76=0,0,$AA42/'Control Panel'!$C$76),0))</f>
        <v/>
      </c>
      <c r="O42" s="158" t="str">
        <f>IF(O$4&lt;$Z42,"",IF(SUM($D42:N42)&lt;$AA42,IF('Control Panel'!$C$76=0,0,$AA42/'Control Panel'!$C$76),0))</f>
        <v/>
      </c>
      <c r="P42" s="158" t="str">
        <f>IF(P$4&lt;$Z42,"",IF(SUM($D42:O42)&lt;$AA42,IF('Control Panel'!$C$76=0,0,$AA42/'Control Panel'!$C$76),0))</f>
        <v/>
      </c>
      <c r="Q42" s="158" t="str">
        <f>IF(Q$4&lt;$Z42,"",IF(SUM($D42:P42)&lt;$AA42,IF('Control Panel'!$C$76=0,0,$AA42/'Control Panel'!$C$76),0))</f>
        <v/>
      </c>
      <c r="R42" s="158" t="str">
        <f>IF(R$4&lt;$Z42,"",IF(SUM($D42:Q42)&lt;$AA42,IF('Control Panel'!$C$76=0,0,$AA42/'Control Panel'!$C$76),0))</f>
        <v/>
      </c>
      <c r="S42" s="158" t="str">
        <f>IF(S$4&lt;$Z42,"",IF(SUM($D42:R42)&lt;$AA42,IF('Control Panel'!$C$76=0,0,$AA42/'Control Panel'!$C$76),0))</f>
        <v/>
      </c>
      <c r="T42" s="158" t="str">
        <f>IF(T$4&lt;$Z42,"",IF(SUM($D42:S42)&lt;$AA42,IF('Control Panel'!$C$76=0,0,$AA42/'Control Panel'!$C$76),0))</f>
        <v/>
      </c>
      <c r="U42" s="158" t="str">
        <f>IF(U$4&lt;$Z42,"",IF(SUM($D42:T42)&lt;$AA42,IF('Control Panel'!$C$76=0,0,$AA42/'Control Panel'!$C$76),0))</f>
        <v/>
      </c>
      <c r="V42" s="158" t="str">
        <f>IF(V$4&lt;$Z42,"",IF(SUM($D42:U42)&lt;$AA42,IF('Control Panel'!$C$76=0,0,$AA42/'Control Panel'!$C$76),0))</f>
        <v/>
      </c>
      <c r="W42" s="158" t="str">
        <f>IF(W$4&lt;$Z42,"",IF(SUM($D42:V42)&lt;$AA42,IF('Control Panel'!$C$76=0,0,$AA42/'Control Panel'!$C$76),0))</f>
        <v/>
      </c>
      <c r="X42" s="238">
        <f>IF(X$4&lt;$Z42,"",IF(SUM($D42:W42)&lt;$AA42,IF('Control Panel'!$C$76=0,0,$AA42/'Control Panel'!$C$76),0))</f>
        <v>0</v>
      </c>
      <c r="Y42" s="143"/>
      <c r="Z42" s="232">
        <f t="shared" si="8"/>
        <v>20</v>
      </c>
      <c r="AA42" s="143">
        <v>0</v>
      </c>
    </row>
    <row r="43" spans="2:38" outlineLevel="1">
      <c r="C43" s="37"/>
      <c r="D43" s="37"/>
      <c r="E43" s="236">
        <f>SUM(E23:E42)</f>
        <v>29150000</v>
      </c>
      <c r="F43" s="236">
        <f>SUM(F23:F42)</f>
        <v>58300000</v>
      </c>
      <c r="G43" s="236">
        <f t="shared" ref="G43:X43" si="9">SUM(G23:G42)</f>
        <v>58300000</v>
      </c>
      <c r="H43" s="236">
        <f t="shared" si="9"/>
        <v>58300000</v>
      </c>
      <c r="I43" s="236">
        <f t="shared" si="9"/>
        <v>58300000</v>
      </c>
      <c r="J43" s="236">
        <f t="shared" si="9"/>
        <v>58300000</v>
      </c>
      <c r="K43" s="236">
        <f t="shared" si="9"/>
        <v>58300000</v>
      </c>
      <c r="L43" s="236">
        <f t="shared" si="9"/>
        <v>58300000</v>
      </c>
      <c r="M43" s="236">
        <f t="shared" si="9"/>
        <v>58300000</v>
      </c>
      <c r="N43" s="236">
        <f t="shared" si="9"/>
        <v>58300000</v>
      </c>
      <c r="O43" s="236">
        <f t="shared" si="9"/>
        <v>58300000</v>
      </c>
      <c r="P43" s="236">
        <f t="shared" si="9"/>
        <v>58300000</v>
      </c>
      <c r="Q43" s="236">
        <f t="shared" si="9"/>
        <v>58300000</v>
      </c>
      <c r="R43" s="236">
        <f t="shared" si="9"/>
        <v>58300000</v>
      </c>
      <c r="S43" s="236">
        <f t="shared" si="9"/>
        <v>58300000</v>
      </c>
      <c r="T43" s="236">
        <f t="shared" si="9"/>
        <v>29150000</v>
      </c>
      <c r="U43" s="236">
        <f t="shared" si="9"/>
        <v>0</v>
      </c>
      <c r="V43" s="236">
        <f t="shared" si="9"/>
        <v>0</v>
      </c>
      <c r="W43" s="236">
        <f t="shared" si="9"/>
        <v>0</v>
      </c>
      <c r="X43" s="236">
        <f t="shared" si="9"/>
        <v>0</v>
      </c>
      <c r="Y43" s="143"/>
      <c r="Z43" s="143"/>
      <c r="AA43" s="143"/>
    </row>
    <row r="44" spans="2:38">
      <c r="C44" s="37"/>
      <c r="D44" s="37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143"/>
      <c r="Z44" s="143"/>
      <c r="AA44" s="143"/>
    </row>
    <row r="45" spans="2:38" s="222" customFormat="1">
      <c r="B45" s="223" t="s">
        <v>146</v>
      </c>
      <c r="C45" s="69"/>
      <c r="D45" s="69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8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</row>
    <row r="46" spans="2:38" outlineLevel="1">
      <c r="B46" s="191" t="s">
        <v>147</v>
      </c>
      <c r="C46" s="37"/>
      <c r="D46" s="37"/>
      <c r="E46" s="143">
        <f>'Assumptions Processing'!E8</f>
        <v>0</v>
      </c>
      <c r="F46" s="143">
        <f>'Assumptions Processing'!F8</f>
        <v>3000000000</v>
      </c>
      <c r="G46" s="143">
        <f>'Assumptions Processing'!G8</f>
        <v>3000000000</v>
      </c>
      <c r="H46" s="143">
        <f>'Assumptions Processing'!H8</f>
        <v>0</v>
      </c>
      <c r="I46" s="143">
        <f>'Assumptions Processing'!I8</f>
        <v>0</v>
      </c>
      <c r="J46" s="143">
        <f>'Assumptions Processing'!J8</f>
        <v>0</v>
      </c>
      <c r="K46" s="143">
        <f>'Assumptions Processing'!K8</f>
        <v>0</v>
      </c>
      <c r="L46" s="143">
        <f>'Assumptions Processing'!L8</f>
        <v>0</v>
      </c>
      <c r="M46" s="143">
        <f>'Assumptions Processing'!M8</f>
        <v>0</v>
      </c>
      <c r="N46" s="143">
        <f>'Assumptions Processing'!N8</f>
        <v>0</v>
      </c>
      <c r="O46" s="143">
        <f>'Assumptions Processing'!O8</f>
        <v>0</v>
      </c>
      <c r="P46" s="143">
        <f>'Assumptions Processing'!P8</f>
        <v>0</v>
      </c>
      <c r="Q46" s="143">
        <f>'Assumptions Processing'!Q8</f>
        <v>0</v>
      </c>
      <c r="R46" s="143">
        <f>'Assumptions Processing'!R8</f>
        <v>0</v>
      </c>
      <c r="S46" s="143">
        <f>'Assumptions Processing'!S8</f>
        <v>0</v>
      </c>
      <c r="T46" s="143">
        <f>'Assumptions Processing'!T8</f>
        <v>0</v>
      </c>
      <c r="U46" s="143">
        <f>'Assumptions Processing'!U8</f>
        <v>0</v>
      </c>
      <c r="V46" s="143">
        <f>'Assumptions Processing'!V8</f>
        <v>0</v>
      </c>
      <c r="W46" s="143">
        <f>'Assumptions Processing'!W8</f>
        <v>0</v>
      </c>
      <c r="X46" s="143">
        <f>'Assumptions Processing'!X8</f>
        <v>0</v>
      </c>
      <c r="Y46" s="143"/>
      <c r="Z46" s="143"/>
      <c r="AA46" s="143"/>
    </row>
    <row r="47" spans="2:38" outlineLevel="1">
      <c r="B47" s="191" t="s">
        <v>148</v>
      </c>
      <c r="C47" s="37"/>
      <c r="D47" s="37"/>
      <c r="E47" s="143">
        <f>'Assumptions Processing'!E8*(1-$C$8)</f>
        <v>0</v>
      </c>
      <c r="F47" s="143">
        <f>'Assumptions Processing'!F8*(1-$C$8)</f>
        <v>2385000000</v>
      </c>
      <c r="G47" s="143">
        <f>'Assumptions Processing'!G8*(1-$C$8)</f>
        <v>2385000000</v>
      </c>
      <c r="H47" s="143">
        <f>'Assumptions Processing'!H8*(1-$C$8)</f>
        <v>0</v>
      </c>
      <c r="I47" s="143">
        <f>'Assumptions Processing'!I8*(1-$C$8)</f>
        <v>0</v>
      </c>
      <c r="J47" s="143">
        <f>'Assumptions Processing'!J8*(1-$C$8)</f>
        <v>0</v>
      </c>
      <c r="K47" s="143">
        <f>'Assumptions Processing'!K8*(1-$C$8)</f>
        <v>0</v>
      </c>
      <c r="L47" s="143">
        <f>'Assumptions Processing'!L8*(1-$C$8)</f>
        <v>0</v>
      </c>
      <c r="M47" s="143">
        <f>'Assumptions Processing'!M8*(1-$C$8)</f>
        <v>0</v>
      </c>
      <c r="N47" s="143">
        <f>'Assumptions Processing'!N8*(1-$C$8)</f>
        <v>0</v>
      </c>
      <c r="O47" s="143">
        <f>'Assumptions Processing'!O8*(1-$C$8)</f>
        <v>0</v>
      </c>
      <c r="P47" s="143">
        <f>'Assumptions Processing'!P8*(1-$C$8)</f>
        <v>0</v>
      </c>
      <c r="Q47" s="143">
        <f>'Assumptions Processing'!Q8*(1-$C$8)</f>
        <v>0</v>
      </c>
      <c r="R47" s="143">
        <f>'Assumptions Processing'!R8*(1-$C$8)</f>
        <v>0</v>
      </c>
      <c r="S47" s="143">
        <f>'Assumptions Processing'!S8*(1-$C$8)</f>
        <v>0</v>
      </c>
      <c r="T47" s="143">
        <f>'Assumptions Processing'!T8*(1-$C$8)</f>
        <v>0</v>
      </c>
      <c r="U47" s="143">
        <f>'Assumptions Processing'!U8*(1-$C$8)</f>
        <v>0</v>
      </c>
      <c r="V47" s="143">
        <f>'Assumptions Processing'!V8*(1-$C$8)</f>
        <v>0</v>
      </c>
      <c r="W47" s="143">
        <f>'Assumptions Processing'!W8*(1-$C$8)</f>
        <v>0</v>
      </c>
      <c r="X47" s="143">
        <f>'Assumptions Processing'!X8*(1-$C$8)</f>
        <v>0</v>
      </c>
      <c r="Y47" s="143"/>
      <c r="Z47" s="143"/>
      <c r="AA47" s="143" t="s">
        <v>144</v>
      </c>
    </row>
    <row r="48" spans="2:38" outlineLevel="1">
      <c r="B48" s="191"/>
      <c r="C48" s="37"/>
      <c r="D48" s="37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</row>
    <row r="49" spans="2:27" outlineLevel="1">
      <c r="B49" s="191"/>
      <c r="C49" s="37"/>
      <c r="D49" s="37"/>
      <c r="E49" s="225" t="s">
        <v>145</v>
      </c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</row>
    <row r="50" spans="2:27" outlineLevel="1">
      <c r="C50" s="196"/>
      <c r="D50" s="196"/>
      <c r="E50" s="229">
        <f>IF(E$4&lt;$Z50,"",IF(SUM($D50:D50)&lt;$AA50,IF('Control Panel'!$C$77=0,0,$AA50/'Control Panel'!$C$77),0))</f>
        <v>0</v>
      </c>
      <c r="F50" s="230">
        <f>IF(F$4&lt;$Z50,"",IF(SUM($D50:E50)&lt;$AA50,IF('Control Panel'!$C$77=0,0,$AA50/'Control Panel'!$C$77),0))</f>
        <v>0</v>
      </c>
      <c r="G50" s="230">
        <f>IF(G$4&lt;$Z50,"",IF(SUM($D50:F50)&lt;$AA50,IF('Control Panel'!$C$77=0,0,$AA50/'Control Panel'!$C$77),0))</f>
        <v>0</v>
      </c>
      <c r="H50" s="230">
        <f>IF(H$4&lt;$Z50,"",IF(SUM($D50:G50)&lt;$AA50,IF('Control Panel'!$C$77=0,0,$AA50/'Control Panel'!$C$77),0))</f>
        <v>0</v>
      </c>
      <c r="I50" s="230">
        <f>IF(I$4&lt;$Z50,"",IF(SUM($D50:H50)&lt;$AA50,IF('Control Panel'!$C$77=0,0,$AA50/'Control Panel'!$C$77),0))</f>
        <v>0</v>
      </c>
      <c r="J50" s="230">
        <f>IF(J$4&lt;$Z50,"",IF(SUM($D50:I50)&lt;$AA50,IF('Control Panel'!$C$77=0,0,$AA50/'Control Panel'!$C$77),0))</f>
        <v>0</v>
      </c>
      <c r="K50" s="230">
        <f>IF(K$4&lt;$Z50,"",IF(SUM($D50:J50)&lt;$AA50,IF('Control Panel'!$C$77=0,0,$AA50/'Control Panel'!$C$77),0))</f>
        <v>0</v>
      </c>
      <c r="L50" s="230">
        <f>IF(L$4&lt;$Z50,"",IF(SUM($D50:K50)&lt;$AA50,IF('Control Panel'!$C$77=0,0,$AA50/'Control Panel'!$C$77),0))</f>
        <v>0</v>
      </c>
      <c r="M50" s="230">
        <f>IF(M$4&lt;$Z50,"",IF(SUM($D50:L50)&lt;$AA50,IF('Control Panel'!$C$77=0,0,$AA50/'Control Panel'!$C$77),0))</f>
        <v>0</v>
      </c>
      <c r="N50" s="230">
        <f>IF(N$4&lt;$Z50,"",IF(SUM($D50:M50)&lt;$AA50,IF('Control Panel'!$C$77=0,0,$AA50/'Control Panel'!$C$77),0))</f>
        <v>0</v>
      </c>
      <c r="O50" s="230">
        <f>IF(O$4&lt;$Z50,"",IF(SUM($D50:N50)&lt;$AA50,IF('Control Panel'!$C$77=0,0,$AA50/'Control Panel'!$C$77),0))</f>
        <v>0</v>
      </c>
      <c r="P50" s="230">
        <f>IF(P$4&lt;$Z50,"",IF(SUM($D50:O50)&lt;$AA50,IF('Control Panel'!$C$77=0,0,$AA50/'Control Panel'!$C$77),0))</f>
        <v>0</v>
      </c>
      <c r="Q50" s="230">
        <f>IF(Q$4&lt;$Z50,"",IF(SUM($D50:P50)&lt;$AA50,IF('Control Panel'!$C$77=0,0,$AA50/'Control Panel'!$C$77),0))</f>
        <v>0</v>
      </c>
      <c r="R50" s="230">
        <f>IF(R$4&lt;$Z50,"",IF(SUM($D50:Q50)&lt;$AA50,IF('Control Panel'!$C$77=0,0,$AA50/'Control Panel'!$C$77),0))</f>
        <v>0</v>
      </c>
      <c r="S50" s="230">
        <f>IF(S$4&lt;$Z50,"",IF(SUM($D50:R50)&lt;$AA50,IF('Control Panel'!$C$77=0,0,$AA50/'Control Panel'!$C$77),0))</f>
        <v>0</v>
      </c>
      <c r="T50" s="230">
        <f>IF(T$4&lt;$Z50,"",IF(SUM($D50:S50)&lt;$AA50,IF('Control Panel'!$C$77=0,0,$AA50/'Control Panel'!$C$77),0))</f>
        <v>0</v>
      </c>
      <c r="U50" s="230">
        <f>IF(U$4&lt;$Z50,"",IF(SUM($D50:T50)&lt;$AA50,IF('Control Panel'!$C$77=0,0,$AA50/'Control Panel'!$C$77),0))</f>
        <v>0</v>
      </c>
      <c r="V50" s="230">
        <f>IF(V$4&lt;$Z50,"",IF(SUM($D50:U50)&lt;$AA50,IF('Control Panel'!$C$77=0,0,$AA50/'Control Panel'!$C$77),0))</f>
        <v>0</v>
      </c>
      <c r="W50" s="230">
        <f>IF(W$4&lt;$Z50,"",IF(SUM($D50:V50)&lt;$AA50,IF('Control Panel'!$C$77=0,0,$AA50/'Control Panel'!$C$77),0))</f>
        <v>0</v>
      </c>
      <c r="X50" s="231">
        <f>IF(X$4&lt;$Z50,"",IF(SUM($D50:W50)&lt;$AA50,IF('Control Panel'!$C$77=0,0,$AA50/'Control Panel'!$C$77),0))</f>
        <v>0</v>
      </c>
      <c r="Y50" s="143"/>
      <c r="Z50" s="232">
        <v>1</v>
      </c>
      <c r="AA50" s="143">
        <f t="array" ref="AA50:AA69">TRANSPOSE(E47:X47)</f>
        <v>0</v>
      </c>
    </row>
    <row r="51" spans="2:27" outlineLevel="1">
      <c r="C51" s="37"/>
      <c r="D51" s="37"/>
      <c r="E51" s="233" t="str">
        <f>IF(E$4&lt;$Z51,"",IF(SUM($D51:D51)&lt;$AA51,IF('Control Panel'!$C$77=0,0,$AA51/'Control Panel'!$C$77),0))</f>
        <v/>
      </c>
      <c r="F51" s="234">
        <f>IF(F$4&lt;$Z51,"",IF(SUM($D51:E51)&lt;$AA51,IF('Control Panel'!$C$77=0,0,$AA51/'Control Panel'!$C$77),0))</f>
        <v>397500000</v>
      </c>
      <c r="G51" s="234">
        <f>IF(G$4&lt;$Z51,"",IF(SUM($D51:F51)&lt;$AA51,IF('Control Panel'!$C$77=0,0,$AA51/'Control Panel'!$C$77),0))</f>
        <v>397500000</v>
      </c>
      <c r="H51" s="234">
        <f>IF(H$4&lt;$Z51,"",IF(SUM($D51:G51)&lt;$AA51,IF('Control Panel'!$C$77=0,0,$AA51/'Control Panel'!$C$77),0))</f>
        <v>397500000</v>
      </c>
      <c r="I51" s="234">
        <f>IF(I$4&lt;$Z51,"",IF(SUM($D51:H51)&lt;$AA51,IF('Control Panel'!$C$77=0,0,$AA51/'Control Panel'!$C$77),0))</f>
        <v>397500000</v>
      </c>
      <c r="J51" s="234">
        <f>IF(J$4&lt;$Z51,"",IF(SUM($D51:I51)&lt;$AA51,IF('Control Panel'!$C$77=0,0,$AA51/'Control Panel'!$C$77),0))</f>
        <v>397500000</v>
      </c>
      <c r="K51" s="234">
        <f>IF(K$4&lt;$Z51,"",IF(SUM($D51:J51)&lt;$AA51,IF('Control Panel'!$C$77=0,0,$AA51/'Control Panel'!$C$77),0))</f>
        <v>397500000</v>
      </c>
      <c r="L51" s="234">
        <f>IF(L$4&lt;$Z51,"",IF(SUM($D51:K51)&lt;$AA51,IF('Control Panel'!$C$77=0,0,$AA51/'Control Panel'!$C$77),0))</f>
        <v>0</v>
      </c>
      <c r="M51" s="234">
        <f>IF(M$4&lt;$Z51,"",IF(SUM($D51:L51)&lt;$AA51,IF('Control Panel'!$C$77=0,0,$AA51/'Control Panel'!$C$77),0))</f>
        <v>0</v>
      </c>
      <c r="N51" s="234">
        <f>IF(N$4&lt;$Z51,"",IF(SUM($D51:M51)&lt;$AA51,IF('Control Panel'!$C$77=0,0,$AA51/'Control Panel'!$C$77),0))</f>
        <v>0</v>
      </c>
      <c r="O51" s="234">
        <f>IF(O$4&lt;$Z51,"",IF(SUM($D51:N51)&lt;$AA51,IF('Control Panel'!$C$77=0,0,$AA51/'Control Panel'!$C$77),0))</f>
        <v>0</v>
      </c>
      <c r="P51" s="234">
        <f>IF(P$4&lt;$Z51,"",IF(SUM($D51:O51)&lt;$AA51,IF('Control Panel'!$C$77=0,0,$AA51/'Control Panel'!$C$77),0))</f>
        <v>0</v>
      </c>
      <c r="Q51" s="234">
        <f>IF(Q$4&lt;$Z51,"",IF(SUM($D51:P51)&lt;$AA51,IF('Control Panel'!$C$77=0,0,$AA51/'Control Panel'!$C$77),0))</f>
        <v>0</v>
      </c>
      <c r="R51" s="234">
        <f>IF(R$4&lt;$Z51,"",IF(SUM($D51:Q51)&lt;$AA51,IF('Control Panel'!$C$77=0,0,$AA51/'Control Panel'!$C$77),0))</f>
        <v>0</v>
      </c>
      <c r="S51" s="234">
        <f>IF(S$4&lt;$Z51,"",IF(SUM($D51:R51)&lt;$AA51,IF('Control Panel'!$C$77=0,0,$AA51/'Control Panel'!$C$77),0))</f>
        <v>0</v>
      </c>
      <c r="T51" s="234">
        <f>IF(T$4&lt;$Z51,"",IF(SUM($D51:S51)&lt;$AA51,IF('Control Panel'!$C$77=0,0,$AA51/'Control Panel'!$C$77),0))</f>
        <v>0</v>
      </c>
      <c r="U51" s="234">
        <f>IF(U$4&lt;$Z51,"",IF(SUM($D51:T51)&lt;$AA51,IF('Control Panel'!$C$77=0,0,$AA51/'Control Panel'!$C$77),0))</f>
        <v>0</v>
      </c>
      <c r="V51" s="234">
        <f>IF(V$4&lt;$Z51,"",IF(SUM($D51:U51)&lt;$AA51,IF('Control Panel'!$C$77=0,0,$AA51/'Control Panel'!$C$77),0))</f>
        <v>0</v>
      </c>
      <c r="W51" s="234">
        <f>IF(W$4&lt;$Z51,"",IF(SUM($D51:V51)&lt;$AA51,IF('Control Panel'!$C$77=0,0,$AA51/'Control Panel'!$C$77),0))</f>
        <v>0</v>
      </c>
      <c r="X51" s="235">
        <f>IF(X$4&lt;$Z51,"",IF(SUM($D51:W51)&lt;$AA51,IF('Control Panel'!$C$77=0,0,$AA51/'Control Panel'!$C$77),0))</f>
        <v>0</v>
      </c>
      <c r="Y51" s="143"/>
      <c r="Z51" s="232">
        <f>Z50+1</f>
        <v>2</v>
      </c>
      <c r="AA51" s="143">
        <v>2385000000</v>
      </c>
    </row>
    <row r="52" spans="2:27" outlineLevel="1">
      <c r="B52" s="197"/>
      <c r="C52" s="197"/>
      <c r="D52" s="197"/>
      <c r="E52" s="233" t="str">
        <f>IF(E$4&lt;$Z52,"",IF(SUM($D52:D52)&lt;$AA52,IF('Control Panel'!$C$77=0,0,$AA52/'Control Panel'!$C$77),0))</f>
        <v/>
      </c>
      <c r="F52" s="234" t="str">
        <f>IF(F$4&lt;$Z52,"",IF(SUM($D52:E52)&lt;$AA52,IF('Control Panel'!$C$77=0,0,$AA52/'Control Panel'!$C$77),0))</f>
        <v/>
      </c>
      <c r="G52" s="234">
        <f>IF(G$4&lt;$Z52,"",IF(SUM($D52:F52)&lt;$AA52,IF('Control Panel'!$C$77=0,0,$AA52/'Control Panel'!$C$77),0))</f>
        <v>397500000</v>
      </c>
      <c r="H52" s="234">
        <f>IF(H$4&lt;$Z52,"",IF(SUM($D52:G52)&lt;$AA52,IF('Control Panel'!$C$77=0,0,$AA52/'Control Panel'!$C$77),0))</f>
        <v>397500000</v>
      </c>
      <c r="I52" s="234">
        <f>IF(I$4&lt;$Z52,"",IF(SUM($D52:H52)&lt;$AA52,IF('Control Panel'!$C$77=0,0,$AA52/'Control Panel'!$C$77),0))</f>
        <v>397500000</v>
      </c>
      <c r="J52" s="234">
        <f>IF(J$4&lt;$Z52,"",IF(SUM($D52:I52)&lt;$AA52,IF('Control Panel'!$C$77=0,0,$AA52/'Control Panel'!$C$77),0))</f>
        <v>397500000</v>
      </c>
      <c r="K52" s="234">
        <f>IF(K$4&lt;$Z52,"",IF(SUM($D52:J52)&lt;$AA52,IF('Control Panel'!$C$77=0,0,$AA52/'Control Panel'!$C$77),0))</f>
        <v>397500000</v>
      </c>
      <c r="L52" s="234">
        <f>IF(L$4&lt;$Z52,"",IF(SUM($D52:K52)&lt;$AA52,IF('Control Panel'!$C$77=0,0,$AA52/'Control Panel'!$C$77),0))</f>
        <v>397500000</v>
      </c>
      <c r="M52" s="234">
        <f>IF(M$4&lt;$Z52,"",IF(SUM($D52:L52)&lt;$AA52,IF('Control Panel'!$C$77=0,0,$AA52/'Control Panel'!$C$77),0))</f>
        <v>0</v>
      </c>
      <c r="N52" s="234">
        <f>IF(N$4&lt;$Z52,"",IF(SUM($D52:M52)&lt;$AA52,IF('Control Panel'!$C$77=0,0,$AA52/'Control Panel'!$C$77),0))</f>
        <v>0</v>
      </c>
      <c r="O52" s="234">
        <f>IF(O$4&lt;$Z52,"",IF(SUM($D52:N52)&lt;$AA52,IF('Control Panel'!$C$77=0,0,$AA52/'Control Panel'!$C$77),0))</f>
        <v>0</v>
      </c>
      <c r="P52" s="234">
        <f>IF(P$4&lt;$Z52,"",IF(SUM($D52:O52)&lt;$AA52,IF('Control Panel'!$C$77=0,0,$AA52/'Control Panel'!$C$77),0))</f>
        <v>0</v>
      </c>
      <c r="Q52" s="234">
        <f>IF(Q$4&lt;$Z52,"",IF(SUM($D52:P52)&lt;$AA52,IF('Control Panel'!$C$77=0,0,$AA52/'Control Panel'!$C$77),0))</f>
        <v>0</v>
      </c>
      <c r="R52" s="234">
        <f>IF(R$4&lt;$Z52,"",IF(SUM($D52:Q52)&lt;$AA52,IF('Control Panel'!$C$77=0,0,$AA52/'Control Panel'!$C$77),0))</f>
        <v>0</v>
      </c>
      <c r="S52" s="234">
        <f>IF(S$4&lt;$Z52,"",IF(SUM($D52:R52)&lt;$AA52,IF('Control Panel'!$C$77=0,0,$AA52/'Control Panel'!$C$77),0))</f>
        <v>0</v>
      </c>
      <c r="T52" s="234">
        <f>IF(T$4&lt;$Z52,"",IF(SUM($D52:S52)&lt;$AA52,IF('Control Panel'!$C$77=0,0,$AA52/'Control Panel'!$C$77),0))</f>
        <v>0</v>
      </c>
      <c r="U52" s="234">
        <f>IF(U$4&lt;$Z52,"",IF(SUM($D52:T52)&lt;$AA52,IF('Control Panel'!$C$77=0,0,$AA52/'Control Panel'!$C$77),0))</f>
        <v>0</v>
      </c>
      <c r="V52" s="234">
        <f>IF(V$4&lt;$Z52,"",IF(SUM($D52:U52)&lt;$AA52,IF('Control Panel'!$C$77=0,0,$AA52/'Control Panel'!$C$77),0))</f>
        <v>0</v>
      </c>
      <c r="W52" s="234">
        <f>IF(W$4&lt;$Z52,"",IF(SUM($D52:V52)&lt;$AA52,IF('Control Panel'!$C$77=0,0,$AA52/'Control Panel'!$C$77),0))</f>
        <v>0</v>
      </c>
      <c r="X52" s="235">
        <f>IF(X$4&lt;$Z52,"",IF(SUM($D52:W52)&lt;$AA52,IF('Control Panel'!$C$77=0,0,$AA52/'Control Panel'!$C$77),0))</f>
        <v>0</v>
      </c>
      <c r="Y52" s="143"/>
      <c r="Z52" s="232">
        <f t="shared" ref="Z52:Z69" si="10">Z51+1</f>
        <v>3</v>
      </c>
      <c r="AA52" s="143">
        <v>2385000000</v>
      </c>
    </row>
    <row r="53" spans="2:27" outlineLevel="1">
      <c r="C53" s="37"/>
      <c r="D53" s="37"/>
      <c r="E53" s="233" t="str">
        <f>IF(E$4&lt;$Z53,"",IF(SUM($D53:D53)&lt;$AA53,IF('Control Panel'!$C$77=0,0,$AA53/'Control Panel'!$C$77),0))</f>
        <v/>
      </c>
      <c r="F53" s="234" t="str">
        <f>IF(F$4&lt;$Z53,"",IF(SUM($D53:E53)&lt;$AA53,IF('Control Panel'!$C$77=0,0,$AA53/'Control Panel'!$C$77),0))</f>
        <v/>
      </c>
      <c r="G53" s="234" t="str">
        <f>IF(G$4&lt;$Z53,"",IF(SUM($D53:F53)&lt;$AA53,IF('Control Panel'!$C$77=0,0,$AA53/'Control Panel'!$C$77),0))</f>
        <v/>
      </c>
      <c r="H53" s="234">
        <f>IF(H$4&lt;$Z53,"",IF(SUM($D53:G53)&lt;$AA53,IF('Control Panel'!$C$77=0,0,$AA53/'Control Panel'!$C$77),0))</f>
        <v>0</v>
      </c>
      <c r="I53" s="234">
        <f>IF(I$4&lt;$Z53,"",IF(SUM($D53:H53)&lt;$AA53,IF('Control Panel'!$C$77=0,0,$AA53/'Control Panel'!$C$77),0))</f>
        <v>0</v>
      </c>
      <c r="J53" s="234">
        <f>IF(J$4&lt;$Z53,"",IF(SUM($D53:I53)&lt;$AA53,IF('Control Panel'!$C$77=0,0,$AA53/'Control Panel'!$C$77),0))</f>
        <v>0</v>
      </c>
      <c r="K53" s="234">
        <f>IF(K$4&lt;$Z53,"",IF(SUM($D53:J53)&lt;$AA53,IF('Control Panel'!$C$77=0,0,$AA53/'Control Panel'!$C$77),0))</f>
        <v>0</v>
      </c>
      <c r="L53" s="234">
        <f>IF(L$4&lt;$Z53,"",IF(SUM($D53:K53)&lt;$AA53,IF('Control Panel'!$C$77=0,0,$AA53/'Control Panel'!$C$77),0))</f>
        <v>0</v>
      </c>
      <c r="M53" s="234">
        <f>IF(M$4&lt;$Z53,"",IF(SUM($D53:L53)&lt;$AA53,IF('Control Panel'!$C$77=0,0,$AA53/'Control Panel'!$C$77),0))</f>
        <v>0</v>
      </c>
      <c r="N53" s="234">
        <f>IF(N$4&lt;$Z53,"",IF(SUM($D53:M53)&lt;$AA53,IF('Control Panel'!$C$77=0,0,$AA53/'Control Panel'!$C$77),0))</f>
        <v>0</v>
      </c>
      <c r="O53" s="234">
        <f>IF(O$4&lt;$Z53,"",IF(SUM($D53:N53)&lt;$AA53,IF('Control Panel'!$C$77=0,0,$AA53/'Control Panel'!$C$77),0))</f>
        <v>0</v>
      </c>
      <c r="P53" s="234">
        <f>IF(P$4&lt;$Z53,"",IF(SUM($D53:O53)&lt;$AA53,IF('Control Panel'!$C$77=0,0,$AA53/'Control Panel'!$C$77),0))</f>
        <v>0</v>
      </c>
      <c r="Q53" s="234">
        <f>IF(Q$4&lt;$Z53,"",IF(SUM($D53:P53)&lt;$AA53,IF('Control Panel'!$C$77=0,0,$AA53/'Control Panel'!$C$77),0))</f>
        <v>0</v>
      </c>
      <c r="R53" s="234">
        <f>IF(R$4&lt;$Z53,"",IF(SUM($D53:Q53)&lt;$AA53,IF('Control Panel'!$C$77=0,0,$AA53/'Control Panel'!$C$77),0))</f>
        <v>0</v>
      </c>
      <c r="S53" s="234">
        <f>IF(S$4&lt;$Z53,"",IF(SUM($D53:R53)&lt;$AA53,IF('Control Panel'!$C$77=0,0,$AA53/'Control Panel'!$C$77),0))</f>
        <v>0</v>
      </c>
      <c r="T53" s="234">
        <f>IF(T$4&lt;$Z53,"",IF(SUM($D53:S53)&lt;$AA53,IF('Control Panel'!$C$77=0,0,$AA53/'Control Panel'!$C$77),0))</f>
        <v>0</v>
      </c>
      <c r="U53" s="234">
        <f>IF(U$4&lt;$Z53,"",IF(SUM($D53:T53)&lt;$AA53,IF('Control Panel'!$C$77=0,0,$AA53/'Control Panel'!$C$77),0))</f>
        <v>0</v>
      </c>
      <c r="V53" s="234">
        <f>IF(V$4&lt;$Z53,"",IF(SUM($D53:U53)&lt;$AA53,IF('Control Panel'!$C$77=0,0,$AA53/'Control Panel'!$C$77),0))</f>
        <v>0</v>
      </c>
      <c r="W53" s="234">
        <f>IF(W$4&lt;$Z53,"",IF(SUM($D53:V53)&lt;$AA53,IF('Control Panel'!$C$77=0,0,$AA53/'Control Panel'!$C$77),0))</f>
        <v>0</v>
      </c>
      <c r="X53" s="235">
        <f>IF(X$4&lt;$Z53,"",IF(SUM($D53:W53)&lt;$AA53,IF('Control Panel'!$C$77=0,0,$AA53/'Control Panel'!$C$77),0))</f>
        <v>0</v>
      </c>
      <c r="Y53" s="143"/>
      <c r="Z53" s="232">
        <f t="shared" si="10"/>
        <v>4</v>
      </c>
      <c r="AA53" s="143">
        <v>0</v>
      </c>
    </row>
    <row r="54" spans="2:27" outlineLevel="1">
      <c r="C54" s="37"/>
      <c r="D54" s="37"/>
      <c r="E54" s="233" t="str">
        <f>IF(E$4&lt;$Z54,"",IF(SUM($D54:D54)&lt;$AA54,IF('Control Panel'!$C$77=0,0,$AA54/'Control Panel'!$C$77),0))</f>
        <v/>
      </c>
      <c r="F54" s="234" t="str">
        <f>IF(F$4&lt;$Z54,"",IF(SUM($D54:E54)&lt;$AA54,IF('Control Panel'!$C$77=0,0,$AA54/'Control Panel'!$C$77),0))</f>
        <v/>
      </c>
      <c r="G54" s="234" t="str">
        <f>IF(G$4&lt;$Z54,"",IF(SUM($D54:F54)&lt;$AA54,IF('Control Panel'!$C$77=0,0,$AA54/'Control Panel'!$C$77),0))</f>
        <v/>
      </c>
      <c r="H54" s="234" t="str">
        <f>IF(H$4&lt;$Z54,"",IF(SUM($D54:G54)&lt;$AA54,IF('Control Panel'!$C$77=0,0,$AA54/'Control Panel'!$C$77),0))</f>
        <v/>
      </c>
      <c r="I54" s="234">
        <f>IF(I$4&lt;$Z54,"",IF(SUM($D54:H54)&lt;$AA54,IF('Control Panel'!$C$77=0,0,$AA54/'Control Panel'!$C$77),0))</f>
        <v>0</v>
      </c>
      <c r="J54" s="234">
        <f>IF(J$4&lt;$Z54,"",IF(SUM($D54:I54)&lt;$AA54,IF('Control Panel'!$C$77=0,0,$AA54/'Control Panel'!$C$77),0))</f>
        <v>0</v>
      </c>
      <c r="K54" s="234">
        <f>IF(K$4&lt;$Z54,"",IF(SUM($D54:J54)&lt;$AA54,IF('Control Panel'!$C$77=0,0,$AA54/'Control Panel'!$C$77),0))</f>
        <v>0</v>
      </c>
      <c r="L54" s="234">
        <f>IF(L$4&lt;$Z54,"",IF(SUM($D54:K54)&lt;$AA54,IF('Control Panel'!$C$77=0,0,$AA54/'Control Panel'!$C$77),0))</f>
        <v>0</v>
      </c>
      <c r="M54" s="234">
        <f>IF(M$4&lt;$Z54,"",IF(SUM($D54:L54)&lt;$AA54,IF('Control Panel'!$C$77=0,0,$AA54/'Control Panel'!$C$77),0))</f>
        <v>0</v>
      </c>
      <c r="N54" s="234">
        <f>IF(N$4&lt;$Z54,"",IF(SUM($D54:M54)&lt;$AA54,IF('Control Panel'!$C$77=0,0,$AA54/'Control Panel'!$C$77),0))</f>
        <v>0</v>
      </c>
      <c r="O54" s="234">
        <f>IF(O$4&lt;$Z54,"",IF(SUM($D54:N54)&lt;$AA54,IF('Control Panel'!$C$77=0,0,$AA54/'Control Panel'!$C$77),0))</f>
        <v>0</v>
      </c>
      <c r="P54" s="234">
        <f>IF(P$4&lt;$Z54,"",IF(SUM($D54:O54)&lt;$AA54,IF('Control Panel'!$C$77=0,0,$AA54/'Control Panel'!$C$77),0))</f>
        <v>0</v>
      </c>
      <c r="Q54" s="234">
        <f>IF(Q$4&lt;$Z54,"",IF(SUM($D54:P54)&lt;$AA54,IF('Control Panel'!$C$77=0,0,$AA54/'Control Panel'!$C$77),0))</f>
        <v>0</v>
      </c>
      <c r="R54" s="234">
        <f>IF(R$4&lt;$Z54,"",IF(SUM($D54:Q54)&lt;$AA54,IF('Control Panel'!$C$77=0,0,$AA54/'Control Panel'!$C$77),0))</f>
        <v>0</v>
      </c>
      <c r="S54" s="234">
        <f>IF(S$4&lt;$Z54,"",IF(SUM($D54:R54)&lt;$AA54,IF('Control Panel'!$C$77=0,0,$AA54/'Control Panel'!$C$77),0))</f>
        <v>0</v>
      </c>
      <c r="T54" s="234">
        <f>IF(T$4&lt;$Z54,"",IF(SUM($D54:S54)&lt;$AA54,IF('Control Panel'!$C$77=0,0,$AA54/'Control Panel'!$C$77),0))</f>
        <v>0</v>
      </c>
      <c r="U54" s="234">
        <f>IF(U$4&lt;$Z54,"",IF(SUM($D54:T54)&lt;$AA54,IF('Control Panel'!$C$77=0,0,$AA54/'Control Panel'!$C$77),0))</f>
        <v>0</v>
      </c>
      <c r="V54" s="234">
        <f>IF(V$4&lt;$Z54,"",IF(SUM($D54:U54)&lt;$AA54,IF('Control Panel'!$C$77=0,0,$AA54/'Control Panel'!$C$77),0))</f>
        <v>0</v>
      </c>
      <c r="W54" s="234">
        <f>IF(W$4&lt;$Z54,"",IF(SUM($D54:V54)&lt;$AA54,IF('Control Panel'!$C$77=0,0,$AA54/'Control Panel'!$C$77),0))</f>
        <v>0</v>
      </c>
      <c r="X54" s="235">
        <f>IF(X$4&lt;$Z54,"",IF(SUM($D54:W54)&lt;$AA54,IF('Control Panel'!$C$77=0,0,$AA54/'Control Panel'!$C$77),0))</f>
        <v>0</v>
      </c>
      <c r="Y54" s="143"/>
      <c r="Z54" s="232">
        <f t="shared" si="10"/>
        <v>5</v>
      </c>
      <c r="AA54" s="143">
        <v>0</v>
      </c>
    </row>
    <row r="55" spans="2:27" outlineLevel="1">
      <c r="C55" s="37"/>
      <c r="D55" s="37"/>
      <c r="E55" s="233" t="str">
        <f>IF(E$4&lt;$Z55,"",IF(SUM($D55:D55)&lt;$AA55,IF('Control Panel'!$C$77=0,0,$AA55/'Control Panel'!$C$77),0))</f>
        <v/>
      </c>
      <c r="F55" s="234" t="str">
        <f>IF(F$4&lt;$Z55,"",IF(SUM($D55:E55)&lt;$AA55,IF('Control Panel'!$C$77=0,0,$AA55/'Control Panel'!$C$77),0))</f>
        <v/>
      </c>
      <c r="G55" s="234" t="str">
        <f>IF(G$4&lt;$Z55,"",IF(SUM($D55:F55)&lt;$AA55,IF('Control Panel'!$C$77=0,0,$AA55/'Control Panel'!$C$77),0))</f>
        <v/>
      </c>
      <c r="H55" s="234" t="str">
        <f>IF(H$4&lt;$Z55,"",IF(SUM($D55:G55)&lt;$AA55,IF('Control Panel'!$C$77=0,0,$AA55/'Control Panel'!$C$77),0))</f>
        <v/>
      </c>
      <c r="I55" s="234" t="str">
        <f>IF(I$4&lt;$Z55,"",IF(SUM($D55:H55)&lt;$AA55,IF('Control Panel'!$C$77=0,0,$AA55/'Control Panel'!$C$77),0))</f>
        <v/>
      </c>
      <c r="J55" s="234">
        <f>IF(J$4&lt;$Z55,"",IF(SUM($D55:I55)&lt;$AA55,IF('Control Panel'!$C$77=0,0,$AA55/'Control Panel'!$C$77),0))</f>
        <v>0</v>
      </c>
      <c r="K55" s="234">
        <f>IF(K$4&lt;$Z55,"",IF(SUM($D55:J55)&lt;$AA55,IF('Control Panel'!$C$77=0,0,$AA55/'Control Panel'!$C$77),0))</f>
        <v>0</v>
      </c>
      <c r="L55" s="234">
        <f>IF(L$4&lt;$Z55,"",IF(SUM($D55:K55)&lt;$AA55,IF('Control Panel'!$C$77=0,0,$AA55/'Control Panel'!$C$77),0))</f>
        <v>0</v>
      </c>
      <c r="M55" s="234">
        <f>IF(M$4&lt;$Z55,"",IF(SUM($D55:L55)&lt;$AA55,IF('Control Panel'!$C$77=0,0,$AA55/'Control Panel'!$C$77),0))</f>
        <v>0</v>
      </c>
      <c r="N55" s="234">
        <f>IF(N$4&lt;$Z55,"",IF(SUM($D55:M55)&lt;$AA55,IF('Control Panel'!$C$77=0,0,$AA55/'Control Panel'!$C$77),0))</f>
        <v>0</v>
      </c>
      <c r="O55" s="234">
        <f>IF(O$4&lt;$Z55,"",IF(SUM($D55:N55)&lt;$AA55,IF('Control Panel'!$C$77=0,0,$AA55/'Control Panel'!$C$77),0))</f>
        <v>0</v>
      </c>
      <c r="P55" s="234">
        <f>IF(P$4&lt;$Z55,"",IF(SUM($D55:O55)&lt;$AA55,IF('Control Panel'!$C$77=0,0,$AA55/'Control Panel'!$C$77),0))</f>
        <v>0</v>
      </c>
      <c r="Q55" s="234">
        <f>IF(Q$4&lt;$Z55,"",IF(SUM($D55:P55)&lt;$AA55,IF('Control Panel'!$C$77=0,0,$AA55/'Control Panel'!$C$77),0))</f>
        <v>0</v>
      </c>
      <c r="R55" s="234">
        <f>IF(R$4&lt;$Z55,"",IF(SUM($D55:Q55)&lt;$AA55,IF('Control Panel'!$C$77=0,0,$AA55/'Control Panel'!$C$77),0))</f>
        <v>0</v>
      </c>
      <c r="S55" s="234">
        <f>IF(S$4&lt;$Z55,"",IF(SUM($D55:R55)&lt;$AA55,IF('Control Panel'!$C$77=0,0,$AA55/'Control Panel'!$C$77),0))</f>
        <v>0</v>
      </c>
      <c r="T55" s="234">
        <f>IF(T$4&lt;$Z55,"",IF(SUM($D55:S55)&lt;$AA55,IF('Control Panel'!$C$77=0,0,$AA55/'Control Panel'!$C$77),0))</f>
        <v>0</v>
      </c>
      <c r="U55" s="234">
        <f>IF(U$4&lt;$Z55,"",IF(SUM($D55:T55)&lt;$AA55,IF('Control Panel'!$C$77=0,0,$AA55/'Control Panel'!$C$77),0))</f>
        <v>0</v>
      </c>
      <c r="V55" s="234">
        <f>IF(V$4&lt;$Z55,"",IF(SUM($D55:U55)&lt;$AA55,IF('Control Panel'!$C$77=0,0,$AA55/'Control Panel'!$C$77),0))</f>
        <v>0</v>
      </c>
      <c r="W55" s="234">
        <f>IF(W$4&lt;$Z55,"",IF(SUM($D55:V55)&lt;$AA55,IF('Control Panel'!$C$77=0,0,$AA55/'Control Panel'!$C$77),0))</f>
        <v>0</v>
      </c>
      <c r="X55" s="235">
        <f>IF(X$4&lt;$Z55,"",IF(SUM($D55:W55)&lt;$AA55,IF('Control Panel'!$C$77=0,0,$AA55/'Control Panel'!$C$77),0))</f>
        <v>0</v>
      </c>
      <c r="Y55" s="143"/>
      <c r="Z55" s="232">
        <f t="shared" si="10"/>
        <v>6</v>
      </c>
      <c r="AA55" s="143">
        <v>0</v>
      </c>
    </row>
    <row r="56" spans="2:27" outlineLevel="1">
      <c r="C56" s="37"/>
      <c r="D56" s="37"/>
      <c r="E56" s="233" t="str">
        <f>IF(E$4&lt;$Z56,"",IF(SUM($D56:D56)&lt;$AA56,IF('Control Panel'!$C$77=0,0,$AA56/'Control Panel'!$C$77),0))</f>
        <v/>
      </c>
      <c r="F56" s="234" t="str">
        <f>IF(F$4&lt;$Z56,"",IF(SUM($D56:E56)&lt;$AA56,IF('Control Panel'!$C$77=0,0,$AA56/'Control Panel'!$C$77),0))</f>
        <v/>
      </c>
      <c r="G56" s="234" t="str">
        <f>IF(G$4&lt;$Z56,"",IF(SUM($D56:F56)&lt;$AA56,IF('Control Panel'!$C$77=0,0,$AA56/'Control Panel'!$C$77),0))</f>
        <v/>
      </c>
      <c r="H56" s="234" t="str">
        <f>IF(H$4&lt;$Z56,"",IF(SUM($D56:G56)&lt;$AA56,IF('Control Panel'!$C$77=0,0,$AA56/'Control Panel'!$C$77),0))</f>
        <v/>
      </c>
      <c r="I56" s="234" t="str">
        <f>IF(I$4&lt;$Z56,"",IF(SUM($D56:H56)&lt;$AA56,IF('Control Panel'!$C$77=0,0,$AA56/'Control Panel'!$C$77),0))</f>
        <v/>
      </c>
      <c r="J56" s="234" t="str">
        <f>IF(J$4&lt;$Z56,"",IF(SUM($D56:I56)&lt;$AA56,IF('Control Panel'!$C$77=0,0,$AA56/'Control Panel'!$C$77),0))</f>
        <v/>
      </c>
      <c r="K56" s="234">
        <f>IF(K$4&lt;$Z56,"",IF(SUM($D56:J56)&lt;$AA56,IF('Control Panel'!$C$77=0,0,$AA56/'Control Panel'!$C$77),0))</f>
        <v>0</v>
      </c>
      <c r="L56" s="234">
        <f>IF(L$4&lt;$Z56,"",IF(SUM($D56:K56)&lt;$AA56,IF('Control Panel'!$C$77=0,0,$AA56/'Control Panel'!$C$77),0))</f>
        <v>0</v>
      </c>
      <c r="M56" s="234">
        <f>IF(M$4&lt;$Z56,"",IF(SUM($D56:L56)&lt;$AA56,IF('Control Panel'!$C$77=0,0,$AA56/'Control Panel'!$C$77),0))</f>
        <v>0</v>
      </c>
      <c r="N56" s="234">
        <f>IF(N$4&lt;$Z56,"",IF(SUM($D56:M56)&lt;$AA56,IF('Control Panel'!$C$77=0,0,$AA56/'Control Panel'!$C$77),0))</f>
        <v>0</v>
      </c>
      <c r="O56" s="234">
        <f>IF(O$4&lt;$Z56,"",IF(SUM($D56:N56)&lt;$AA56,IF('Control Panel'!$C$77=0,0,$AA56/'Control Panel'!$C$77),0))</f>
        <v>0</v>
      </c>
      <c r="P56" s="234">
        <f>IF(P$4&lt;$Z56,"",IF(SUM($D56:O56)&lt;$AA56,IF('Control Panel'!$C$77=0,0,$AA56/'Control Panel'!$C$77),0))</f>
        <v>0</v>
      </c>
      <c r="Q56" s="234">
        <f>IF(Q$4&lt;$Z56,"",IF(SUM($D56:P56)&lt;$AA56,IF('Control Panel'!$C$77=0,0,$AA56/'Control Panel'!$C$77),0))</f>
        <v>0</v>
      </c>
      <c r="R56" s="234">
        <f>IF(R$4&lt;$Z56,"",IF(SUM($D56:Q56)&lt;$AA56,IF('Control Panel'!$C$77=0,0,$AA56/'Control Panel'!$C$77),0))</f>
        <v>0</v>
      </c>
      <c r="S56" s="234">
        <f>IF(S$4&lt;$Z56,"",IF(SUM($D56:R56)&lt;$AA56,IF('Control Panel'!$C$77=0,0,$AA56/'Control Panel'!$C$77),0))</f>
        <v>0</v>
      </c>
      <c r="T56" s="234">
        <f>IF(T$4&lt;$Z56,"",IF(SUM($D56:S56)&lt;$AA56,IF('Control Panel'!$C$77=0,0,$AA56/'Control Panel'!$C$77),0))</f>
        <v>0</v>
      </c>
      <c r="U56" s="234">
        <f>IF(U$4&lt;$Z56,"",IF(SUM($D56:T56)&lt;$AA56,IF('Control Panel'!$C$77=0,0,$AA56/'Control Panel'!$C$77),0))</f>
        <v>0</v>
      </c>
      <c r="V56" s="234">
        <f>IF(V$4&lt;$Z56,"",IF(SUM($D56:U56)&lt;$AA56,IF('Control Panel'!$C$77=0,0,$AA56/'Control Panel'!$C$77),0))</f>
        <v>0</v>
      </c>
      <c r="W56" s="234">
        <f>IF(W$4&lt;$Z56,"",IF(SUM($D56:V56)&lt;$AA56,IF('Control Panel'!$C$77=0,0,$AA56/'Control Panel'!$C$77),0))</f>
        <v>0</v>
      </c>
      <c r="X56" s="235">
        <f>IF(X$4&lt;$Z56,"",IF(SUM($D56:W56)&lt;$AA56,IF('Control Panel'!$C$77=0,0,$AA56/'Control Panel'!$C$77),0))</f>
        <v>0</v>
      </c>
      <c r="Y56" s="143"/>
      <c r="Z56" s="232">
        <f t="shared" si="10"/>
        <v>7</v>
      </c>
      <c r="AA56" s="143">
        <v>0</v>
      </c>
    </row>
    <row r="57" spans="2:27" outlineLevel="1">
      <c r="C57" s="37"/>
      <c r="D57" s="37"/>
      <c r="E57" s="233" t="str">
        <f>IF(E$4&lt;$Z57,"",IF(SUM($D57:D57)&lt;$AA57,IF('Control Panel'!$C$77=0,0,$AA57/'Control Panel'!$C$77),0))</f>
        <v/>
      </c>
      <c r="F57" s="234" t="str">
        <f>IF(F$4&lt;$Z57,"",IF(SUM($D57:E57)&lt;$AA57,IF('Control Panel'!$C$77=0,0,$AA57/'Control Panel'!$C$77),0))</f>
        <v/>
      </c>
      <c r="G57" s="234" t="str">
        <f>IF(G$4&lt;$Z57,"",IF(SUM($D57:F57)&lt;$AA57,IF('Control Panel'!$C$77=0,0,$AA57/'Control Panel'!$C$77),0))</f>
        <v/>
      </c>
      <c r="H57" s="234" t="str">
        <f>IF(H$4&lt;$Z57,"",IF(SUM($D57:G57)&lt;$AA57,IF('Control Panel'!$C$77=0,0,$AA57/'Control Panel'!$C$77),0))</f>
        <v/>
      </c>
      <c r="I57" s="234" t="str">
        <f>IF(I$4&lt;$Z57,"",IF(SUM($D57:H57)&lt;$AA57,IF('Control Panel'!$C$77=0,0,$AA57/'Control Panel'!$C$77),0))</f>
        <v/>
      </c>
      <c r="J57" s="234" t="str">
        <f>IF(J$4&lt;$Z57,"",IF(SUM($D57:I57)&lt;$AA57,IF('Control Panel'!$C$77=0,0,$AA57/'Control Panel'!$C$77),0))</f>
        <v/>
      </c>
      <c r="K57" s="234" t="str">
        <f>IF(K$4&lt;$Z57,"",IF(SUM($D57:J57)&lt;$AA57,IF('Control Panel'!$C$77=0,0,$AA57/'Control Panel'!$C$77),0))</f>
        <v/>
      </c>
      <c r="L57" s="234">
        <f>IF(L$4&lt;$Z57,"",IF(SUM($D57:K57)&lt;$AA57,IF('Control Panel'!$C$77=0,0,$AA57/'Control Panel'!$C$77),0))</f>
        <v>0</v>
      </c>
      <c r="M57" s="234">
        <f>IF(M$4&lt;$Z57,"",IF(SUM($D57:L57)&lt;$AA57,IF('Control Panel'!$C$77=0,0,$AA57/'Control Panel'!$C$77),0))</f>
        <v>0</v>
      </c>
      <c r="N57" s="234">
        <f>IF(N$4&lt;$Z57,"",IF(SUM($D57:M57)&lt;$AA57,IF('Control Panel'!$C$77=0,0,$AA57/'Control Panel'!$C$77),0))</f>
        <v>0</v>
      </c>
      <c r="O57" s="234">
        <f>IF(O$4&lt;$Z57,"",IF(SUM($D57:N57)&lt;$AA57,IF('Control Panel'!$C$77=0,0,$AA57/'Control Panel'!$C$77),0))</f>
        <v>0</v>
      </c>
      <c r="P57" s="234">
        <f>IF(P$4&lt;$Z57,"",IF(SUM($D57:O57)&lt;$AA57,IF('Control Panel'!$C$77=0,0,$AA57/'Control Panel'!$C$77),0))</f>
        <v>0</v>
      </c>
      <c r="Q57" s="234">
        <f>IF(Q$4&lt;$Z57,"",IF(SUM($D57:P57)&lt;$AA57,IF('Control Panel'!$C$77=0,0,$AA57/'Control Panel'!$C$77),0))</f>
        <v>0</v>
      </c>
      <c r="R57" s="234">
        <f>IF(R$4&lt;$Z57,"",IF(SUM($D57:Q57)&lt;$AA57,IF('Control Panel'!$C$77=0,0,$AA57/'Control Panel'!$C$77),0))</f>
        <v>0</v>
      </c>
      <c r="S57" s="234">
        <f>IF(S$4&lt;$Z57,"",IF(SUM($D57:R57)&lt;$AA57,IF('Control Panel'!$C$77=0,0,$AA57/'Control Panel'!$C$77),0))</f>
        <v>0</v>
      </c>
      <c r="T57" s="234">
        <f>IF(T$4&lt;$Z57,"",IF(SUM($D57:S57)&lt;$AA57,IF('Control Panel'!$C$77=0,0,$AA57/'Control Panel'!$C$77),0))</f>
        <v>0</v>
      </c>
      <c r="U57" s="234">
        <f>IF(U$4&lt;$Z57,"",IF(SUM($D57:T57)&lt;$AA57,IF('Control Panel'!$C$77=0,0,$AA57/'Control Panel'!$C$77),0))</f>
        <v>0</v>
      </c>
      <c r="V57" s="234">
        <f>IF(V$4&lt;$Z57,"",IF(SUM($D57:U57)&lt;$AA57,IF('Control Panel'!$C$77=0,0,$AA57/'Control Panel'!$C$77),0))</f>
        <v>0</v>
      </c>
      <c r="W57" s="234">
        <f>IF(W$4&lt;$Z57,"",IF(SUM($D57:V57)&lt;$AA57,IF('Control Panel'!$C$77=0,0,$AA57/'Control Panel'!$C$77),0))</f>
        <v>0</v>
      </c>
      <c r="X57" s="235">
        <f>IF(X$4&lt;$Z57,"",IF(SUM($D57:W57)&lt;$AA57,IF('Control Panel'!$C$77=0,0,$AA57/'Control Panel'!$C$77),0))</f>
        <v>0</v>
      </c>
      <c r="Y57" s="143"/>
      <c r="Z57" s="232">
        <f t="shared" si="10"/>
        <v>8</v>
      </c>
      <c r="AA57" s="143">
        <v>0</v>
      </c>
    </row>
    <row r="58" spans="2:27" outlineLevel="1">
      <c r="C58" s="37"/>
      <c r="D58" s="37"/>
      <c r="E58" s="233" t="str">
        <f>IF(E$4&lt;$Z58,"",IF(SUM($D58:D58)&lt;$AA58,IF('Control Panel'!$C$77=0,0,$AA58/'Control Panel'!$C$77),0))</f>
        <v/>
      </c>
      <c r="F58" s="234" t="str">
        <f>IF(F$4&lt;$Z58,"",IF(SUM($D58:E58)&lt;$AA58,IF('Control Panel'!$C$77=0,0,$AA58/'Control Panel'!$C$77),0))</f>
        <v/>
      </c>
      <c r="G58" s="234" t="str">
        <f>IF(G$4&lt;$Z58,"",IF(SUM($D58:F58)&lt;$AA58,IF('Control Panel'!$C$77=0,0,$AA58/'Control Panel'!$C$77),0))</f>
        <v/>
      </c>
      <c r="H58" s="234" t="str">
        <f>IF(H$4&lt;$Z58,"",IF(SUM($D58:G58)&lt;$AA58,IF('Control Panel'!$C$77=0,0,$AA58/'Control Panel'!$C$77),0))</f>
        <v/>
      </c>
      <c r="I58" s="234" t="str">
        <f>IF(I$4&lt;$Z58,"",IF(SUM($D58:H58)&lt;$AA58,IF('Control Panel'!$C$77=0,0,$AA58/'Control Panel'!$C$77),0))</f>
        <v/>
      </c>
      <c r="J58" s="234" t="str">
        <f>IF(J$4&lt;$Z58,"",IF(SUM($D58:I58)&lt;$AA58,IF('Control Panel'!$C$77=0,0,$AA58/'Control Panel'!$C$77),0))</f>
        <v/>
      </c>
      <c r="K58" s="234" t="str">
        <f>IF(K$4&lt;$Z58,"",IF(SUM($D58:J58)&lt;$AA58,IF('Control Panel'!$C$77=0,0,$AA58/'Control Panel'!$C$77),0))</f>
        <v/>
      </c>
      <c r="L58" s="234" t="str">
        <f>IF(L$4&lt;$Z58,"",IF(SUM($D58:K58)&lt;$AA58,IF('Control Panel'!$C$77=0,0,$AA58/'Control Panel'!$C$77),0))</f>
        <v/>
      </c>
      <c r="M58" s="234">
        <f>IF(M$4&lt;$Z58,"",IF(SUM($D58:L58)&lt;$AA58,IF('Control Panel'!$C$77=0,0,$AA58/'Control Panel'!$C$77),0))</f>
        <v>0</v>
      </c>
      <c r="N58" s="234">
        <f>IF(N$4&lt;$Z58,"",IF(SUM($D58:M58)&lt;$AA58,IF('Control Panel'!$C$77=0,0,$AA58/'Control Panel'!$C$77),0))</f>
        <v>0</v>
      </c>
      <c r="O58" s="234">
        <f>IF(O$4&lt;$Z58,"",IF(SUM($D58:N58)&lt;$AA58,IF('Control Panel'!$C$77=0,0,$AA58/'Control Panel'!$C$77),0))</f>
        <v>0</v>
      </c>
      <c r="P58" s="234">
        <f>IF(P$4&lt;$Z58,"",IF(SUM($D58:O58)&lt;$AA58,IF('Control Panel'!$C$77=0,0,$AA58/'Control Panel'!$C$77),0))</f>
        <v>0</v>
      </c>
      <c r="Q58" s="234">
        <f>IF(Q$4&lt;$Z58,"",IF(SUM($D58:P58)&lt;$AA58,IF('Control Panel'!$C$77=0,0,$AA58/'Control Panel'!$C$77),0))</f>
        <v>0</v>
      </c>
      <c r="R58" s="234">
        <f>IF(R$4&lt;$Z58,"",IF(SUM($D58:Q58)&lt;$AA58,IF('Control Panel'!$C$77=0,0,$AA58/'Control Panel'!$C$77),0))</f>
        <v>0</v>
      </c>
      <c r="S58" s="234">
        <f>IF(S$4&lt;$Z58,"",IF(SUM($D58:R58)&lt;$AA58,IF('Control Panel'!$C$77=0,0,$AA58/'Control Panel'!$C$77),0))</f>
        <v>0</v>
      </c>
      <c r="T58" s="234">
        <f>IF(T$4&lt;$Z58,"",IF(SUM($D58:S58)&lt;$AA58,IF('Control Panel'!$C$77=0,0,$AA58/'Control Panel'!$C$77),0))</f>
        <v>0</v>
      </c>
      <c r="U58" s="234">
        <f>IF(U$4&lt;$Z58,"",IF(SUM($D58:T58)&lt;$AA58,IF('Control Panel'!$C$77=0,0,$AA58/'Control Panel'!$C$77),0))</f>
        <v>0</v>
      </c>
      <c r="V58" s="234">
        <f>IF(V$4&lt;$Z58,"",IF(SUM($D58:U58)&lt;$AA58,IF('Control Panel'!$C$77=0,0,$AA58/'Control Panel'!$C$77),0))</f>
        <v>0</v>
      </c>
      <c r="W58" s="234">
        <f>IF(W$4&lt;$Z58,"",IF(SUM($D58:V58)&lt;$AA58,IF('Control Panel'!$C$77=0,0,$AA58/'Control Panel'!$C$77),0))</f>
        <v>0</v>
      </c>
      <c r="X58" s="235">
        <f>IF(X$4&lt;$Z58,"",IF(SUM($D58:W58)&lt;$AA58,IF('Control Panel'!$C$77=0,0,$AA58/'Control Panel'!$C$77),0))</f>
        <v>0</v>
      </c>
      <c r="Y58" s="143"/>
      <c r="Z58" s="232">
        <f t="shared" si="10"/>
        <v>9</v>
      </c>
      <c r="AA58" s="143">
        <v>0</v>
      </c>
    </row>
    <row r="59" spans="2:27" outlineLevel="1">
      <c r="C59" s="37"/>
      <c r="D59" s="37"/>
      <c r="E59" s="233" t="str">
        <f>IF(E$4&lt;$Z59,"",IF(SUM($D59:D59)&lt;$AA59,IF('Control Panel'!$C$77=0,0,$AA59/'Control Panel'!$C$77),0))</f>
        <v/>
      </c>
      <c r="F59" s="234" t="str">
        <f>IF(F$4&lt;$Z59,"",IF(SUM($D59:E59)&lt;$AA59,IF('Control Panel'!$C$77=0,0,$AA59/'Control Panel'!$C$77),0))</f>
        <v/>
      </c>
      <c r="G59" s="234" t="str">
        <f>IF(G$4&lt;$Z59,"",IF(SUM($D59:F59)&lt;$AA59,IF('Control Panel'!$C$77=0,0,$AA59/'Control Panel'!$C$77),0))</f>
        <v/>
      </c>
      <c r="H59" s="234" t="str">
        <f>IF(H$4&lt;$Z59,"",IF(SUM($D59:G59)&lt;$AA59,IF('Control Panel'!$C$77=0,0,$AA59/'Control Panel'!$C$77),0))</f>
        <v/>
      </c>
      <c r="I59" s="234" t="str">
        <f>IF(I$4&lt;$Z59,"",IF(SUM($D59:H59)&lt;$AA59,IF('Control Panel'!$C$77=0,0,$AA59/'Control Panel'!$C$77),0))</f>
        <v/>
      </c>
      <c r="J59" s="234" t="str">
        <f>IF(J$4&lt;$Z59,"",IF(SUM($D59:I59)&lt;$AA59,IF('Control Panel'!$C$77=0,0,$AA59/'Control Panel'!$C$77),0))</f>
        <v/>
      </c>
      <c r="K59" s="234" t="str">
        <f>IF(K$4&lt;$Z59,"",IF(SUM($D59:J59)&lt;$AA59,IF('Control Panel'!$C$77=0,0,$AA59/'Control Panel'!$C$77),0))</f>
        <v/>
      </c>
      <c r="L59" s="234" t="str">
        <f>IF(L$4&lt;$Z59,"",IF(SUM($D59:K59)&lt;$AA59,IF('Control Panel'!$C$77=0,0,$AA59/'Control Panel'!$C$77),0))</f>
        <v/>
      </c>
      <c r="M59" s="234" t="str">
        <f>IF(M$4&lt;$Z59,"",IF(SUM($D59:L59)&lt;$AA59,IF('Control Panel'!$C$77=0,0,$AA59/'Control Panel'!$C$77),0))</f>
        <v/>
      </c>
      <c r="N59" s="234">
        <f>IF(N$4&lt;$Z59,"",IF(SUM($D59:M59)&lt;$AA59,IF('Control Panel'!$C$77=0,0,$AA59/'Control Panel'!$C$77),0))</f>
        <v>0</v>
      </c>
      <c r="O59" s="234">
        <f>IF(O$4&lt;$Z59,"",IF(SUM($D59:N59)&lt;$AA59,IF('Control Panel'!$C$77=0,0,$AA59/'Control Panel'!$C$77),0))</f>
        <v>0</v>
      </c>
      <c r="P59" s="234">
        <f>IF(P$4&lt;$Z59,"",IF(SUM($D59:O59)&lt;$AA59,IF('Control Panel'!$C$77=0,0,$AA59/'Control Panel'!$C$77),0))</f>
        <v>0</v>
      </c>
      <c r="Q59" s="234">
        <f>IF(Q$4&lt;$Z59,"",IF(SUM($D59:P59)&lt;$AA59,IF('Control Panel'!$C$77=0,0,$AA59/'Control Panel'!$C$77),0))</f>
        <v>0</v>
      </c>
      <c r="R59" s="234">
        <f>IF(R$4&lt;$Z59,"",IF(SUM($D59:Q59)&lt;$AA59,IF('Control Panel'!$C$77=0,0,$AA59/'Control Panel'!$C$77),0))</f>
        <v>0</v>
      </c>
      <c r="S59" s="234">
        <f>IF(S$4&lt;$Z59,"",IF(SUM($D59:R59)&lt;$AA59,IF('Control Panel'!$C$77=0,0,$AA59/'Control Panel'!$C$77),0))</f>
        <v>0</v>
      </c>
      <c r="T59" s="234">
        <f>IF(T$4&lt;$Z59,"",IF(SUM($D59:S59)&lt;$AA59,IF('Control Panel'!$C$77=0,0,$AA59/'Control Panel'!$C$77),0))</f>
        <v>0</v>
      </c>
      <c r="U59" s="234">
        <f>IF(U$4&lt;$Z59,"",IF(SUM($D59:T59)&lt;$AA59,IF('Control Panel'!$C$77=0,0,$AA59/'Control Panel'!$C$77),0))</f>
        <v>0</v>
      </c>
      <c r="V59" s="234">
        <f>IF(V$4&lt;$Z59,"",IF(SUM($D59:U59)&lt;$AA59,IF('Control Panel'!$C$77=0,0,$AA59/'Control Panel'!$C$77),0))</f>
        <v>0</v>
      </c>
      <c r="W59" s="234">
        <f>IF(W$4&lt;$Z59,"",IF(SUM($D59:V59)&lt;$AA59,IF('Control Panel'!$C$77=0,0,$AA59/'Control Panel'!$C$77),0))</f>
        <v>0</v>
      </c>
      <c r="X59" s="235">
        <f>IF(X$4&lt;$Z59,"",IF(SUM($D59:W59)&lt;$AA59,IF('Control Panel'!$C$77=0,0,$AA59/'Control Panel'!$C$77),0))</f>
        <v>0</v>
      </c>
      <c r="Y59" s="143"/>
      <c r="Z59" s="232">
        <f t="shared" si="10"/>
        <v>10</v>
      </c>
      <c r="AA59" s="143">
        <v>0</v>
      </c>
    </row>
    <row r="60" spans="2:27" outlineLevel="1">
      <c r="C60" s="37"/>
      <c r="D60" s="37"/>
      <c r="E60" s="233" t="str">
        <f>IF(E$4&lt;$Z60,"",IF(SUM($D60:D60)&lt;$AA60,IF('Control Panel'!$C$77=0,0,$AA60/'Control Panel'!$C$77),0))</f>
        <v/>
      </c>
      <c r="F60" s="234" t="str">
        <f>IF(F$4&lt;$Z60,"",IF(SUM($D60:E60)&lt;$AA60,IF('Control Panel'!$C$77=0,0,$AA60/'Control Panel'!$C$77),0))</f>
        <v/>
      </c>
      <c r="G60" s="234" t="str">
        <f>IF(G$4&lt;$Z60,"",IF(SUM($D60:F60)&lt;$AA60,IF('Control Panel'!$C$77=0,0,$AA60/'Control Panel'!$C$77),0))</f>
        <v/>
      </c>
      <c r="H60" s="234" t="str">
        <f>IF(H$4&lt;$Z60,"",IF(SUM($D60:G60)&lt;$AA60,IF('Control Panel'!$C$77=0,0,$AA60/'Control Panel'!$C$77),0))</f>
        <v/>
      </c>
      <c r="I60" s="234" t="str">
        <f>IF(I$4&lt;$Z60,"",IF(SUM($D60:H60)&lt;$AA60,IF('Control Panel'!$C$77=0,0,$AA60/'Control Panel'!$C$77),0))</f>
        <v/>
      </c>
      <c r="J60" s="234" t="str">
        <f>IF(J$4&lt;$Z60,"",IF(SUM($D60:I60)&lt;$AA60,IF('Control Panel'!$C$77=0,0,$AA60/'Control Panel'!$C$77),0))</f>
        <v/>
      </c>
      <c r="K60" s="234" t="str">
        <f>IF(K$4&lt;$Z60,"",IF(SUM($D60:J60)&lt;$AA60,IF('Control Panel'!$C$77=0,0,$AA60/'Control Panel'!$C$77),0))</f>
        <v/>
      </c>
      <c r="L60" s="234" t="str">
        <f>IF(L$4&lt;$Z60,"",IF(SUM($D60:K60)&lt;$AA60,IF('Control Panel'!$C$77=0,0,$AA60/'Control Panel'!$C$77),0))</f>
        <v/>
      </c>
      <c r="M60" s="234" t="str">
        <f>IF(M$4&lt;$Z60,"",IF(SUM($D60:L60)&lt;$AA60,IF('Control Panel'!$C$77=0,0,$AA60/'Control Panel'!$C$77),0))</f>
        <v/>
      </c>
      <c r="N60" s="234" t="str">
        <f>IF(N$4&lt;$Z60,"",IF(SUM($D60:M60)&lt;$AA60,IF('Control Panel'!$C$77=0,0,$AA60/'Control Panel'!$C$77),0))</f>
        <v/>
      </c>
      <c r="O60" s="234">
        <f>IF(O$4&lt;$Z60,"",IF(SUM($D60:N60)&lt;$AA60,IF('Control Panel'!$C$77=0,0,$AA60/'Control Panel'!$C$77),0))</f>
        <v>0</v>
      </c>
      <c r="P60" s="234">
        <f>IF(P$4&lt;$Z60,"",IF(SUM($D60:O60)&lt;$AA60,IF('Control Panel'!$C$77=0,0,$AA60/'Control Panel'!$C$77),0))</f>
        <v>0</v>
      </c>
      <c r="Q60" s="234">
        <f>IF(Q$4&lt;$Z60,"",IF(SUM($D60:P60)&lt;$AA60,IF('Control Panel'!$C$77=0,0,$AA60/'Control Panel'!$C$77),0))</f>
        <v>0</v>
      </c>
      <c r="R60" s="234">
        <f>IF(R$4&lt;$Z60,"",IF(SUM($D60:Q60)&lt;$AA60,IF('Control Panel'!$C$77=0,0,$AA60/'Control Panel'!$C$77),0))</f>
        <v>0</v>
      </c>
      <c r="S60" s="234">
        <f>IF(S$4&lt;$Z60,"",IF(SUM($D60:R60)&lt;$AA60,IF('Control Panel'!$C$77=0,0,$AA60/'Control Panel'!$C$77),0))</f>
        <v>0</v>
      </c>
      <c r="T60" s="234">
        <f>IF(T$4&lt;$Z60,"",IF(SUM($D60:S60)&lt;$AA60,IF('Control Panel'!$C$77=0,0,$AA60/'Control Panel'!$C$77),0))</f>
        <v>0</v>
      </c>
      <c r="U60" s="234">
        <f>IF(U$4&lt;$Z60,"",IF(SUM($D60:T60)&lt;$AA60,IF('Control Panel'!$C$77=0,0,$AA60/'Control Panel'!$C$77),0))</f>
        <v>0</v>
      </c>
      <c r="V60" s="234">
        <f>IF(V$4&lt;$Z60,"",IF(SUM($D60:U60)&lt;$AA60,IF('Control Panel'!$C$77=0,0,$AA60/'Control Panel'!$C$77),0))</f>
        <v>0</v>
      </c>
      <c r="W60" s="234">
        <f>IF(W$4&lt;$Z60,"",IF(SUM($D60:V60)&lt;$AA60,IF('Control Panel'!$C$77=0,0,$AA60/'Control Panel'!$C$77),0))</f>
        <v>0</v>
      </c>
      <c r="X60" s="235">
        <f>IF(X$4&lt;$Z60,"",IF(SUM($D60:W60)&lt;$AA60,IF('Control Panel'!$C$77=0,0,$AA60/'Control Panel'!$C$77),0))</f>
        <v>0</v>
      </c>
      <c r="Y60" s="143"/>
      <c r="Z60" s="232">
        <f t="shared" si="10"/>
        <v>11</v>
      </c>
      <c r="AA60" s="143">
        <v>0</v>
      </c>
    </row>
    <row r="61" spans="2:27" outlineLevel="1">
      <c r="B61" s="191"/>
      <c r="C61" s="37"/>
      <c r="D61" s="37"/>
      <c r="E61" s="233" t="str">
        <f>IF(E$4&lt;$Z61,"",IF(SUM($D61:D61)&lt;$AA61,IF('Control Panel'!$C$77=0,0,$AA61/'Control Panel'!$C$77),0))</f>
        <v/>
      </c>
      <c r="F61" s="234" t="str">
        <f>IF(F$4&lt;$Z61,"",IF(SUM($D61:E61)&lt;$AA61,IF('Control Panel'!$C$77=0,0,$AA61/'Control Panel'!$C$77),0))</f>
        <v/>
      </c>
      <c r="G61" s="234" t="str">
        <f>IF(G$4&lt;$Z61,"",IF(SUM($D61:F61)&lt;$AA61,IF('Control Panel'!$C$77=0,0,$AA61/'Control Panel'!$C$77),0))</f>
        <v/>
      </c>
      <c r="H61" s="234" t="str">
        <f>IF(H$4&lt;$Z61,"",IF(SUM($D61:G61)&lt;$AA61,IF('Control Panel'!$C$77=0,0,$AA61/'Control Panel'!$C$77),0))</f>
        <v/>
      </c>
      <c r="I61" s="234" t="str">
        <f>IF(I$4&lt;$Z61,"",IF(SUM($D61:H61)&lt;$AA61,IF('Control Panel'!$C$77=0,0,$AA61/'Control Panel'!$C$77),0))</f>
        <v/>
      </c>
      <c r="J61" s="234" t="str">
        <f>IF(J$4&lt;$Z61,"",IF(SUM($D61:I61)&lt;$AA61,IF('Control Panel'!$C$77=0,0,$AA61/'Control Panel'!$C$77),0))</f>
        <v/>
      </c>
      <c r="K61" s="234" t="str">
        <f>IF(K$4&lt;$Z61,"",IF(SUM($D61:J61)&lt;$AA61,IF('Control Panel'!$C$77=0,0,$AA61/'Control Panel'!$C$77),0))</f>
        <v/>
      </c>
      <c r="L61" s="234" t="str">
        <f>IF(L$4&lt;$Z61,"",IF(SUM($D61:K61)&lt;$AA61,IF('Control Panel'!$C$77=0,0,$AA61/'Control Panel'!$C$77),0))</f>
        <v/>
      </c>
      <c r="M61" s="234" t="str">
        <f>IF(M$4&lt;$Z61,"",IF(SUM($D61:L61)&lt;$AA61,IF('Control Panel'!$C$77=0,0,$AA61/'Control Panel'!$C$77),0))</f>
        <v/>
      </c>
      <c r="N61" s="234" t="str">
        <f>IF(N$4&lt;$Z61,"",IF(SUM($D61:M61)&lt;$AA61,IF('Control Panel'!$C$77=0,0,$AA61/'Control Panel'!$C$77),0))</f>
        <v/>
      </c>
      <c r="O61" s="234" t="str">
        <f>IF(O$4&lt;$Z61,"",IF(SUM($D61:N61)&lt;$AA61,IF('Control Panel'!$C$77=0,0,$AA61/'Control Panel'!$C$77),0))</f>
        <v/>
      </c>
      <c r="P61" s="234">
        <f>IF(P$4&lt;$Z61,"",IF(SUM($D61:O61)&lt;$AA61,IF('Control Panel'!$C$77=0,0,$AA61/'Control Panel'!$C$77),0))</f>
        <v>0</v>
      </c>
      <c r="Q61" s="234">
        <f>IF(Q$4&lt;$Z61,"",IF(SUM($D61:P61)&lt;$AA61,IF('Control Panel'!$C$77=0,0,$AA61/'Control Panel'!$C$77),0))</f>
        <v>0</v>
      </c>
      <c r="R61" s="234">
        <f>IF(R$4&lt;$Z61,"",IF(SUM($D61:Q61)&lt;$AA61,IF('Control Panel'!$C$77=0,0,$AA61/'Control Panel'!$C$77),0))</f>
        <v>0</v>
      </c>
      <c r="S61" s="234">
        <f>IF(S$4&lt;$Z61,"",IF(SUM($D61:R61)&lt;$AA61,IF('Control Panel'!$C$77=0,0,$AA61/'Control Panel'!$C$77),0))</f>
        <v>0</v>
      </c>
      <c r="T61" s="234">
        <f>IF(T$4&lt;$Z61,"",IF(SUM($D61:S61)&lt;$AA61,IF('Control Panel'!$C$77=0,0,$AA61/'Control Panel'!$C$77),0))</f>
        <v>0</v>
      </c>
      <c r="U61" s="234">
        <f>IF(U$4&lt;$Z61,"",IF(SUM($D61:T61)&lt;$AA61,IF('Control Panel'!$C$77=0,0,$AA61/'Control Panel'!$C$77),0))</f>
        <v>0</v>
      </c>
      <c r="V61" s="234">
        <f>IF(V$4&lt;$Z61,"",IF(SUM($D61:U61)&lt;$AA61,IF('Control Panel'!$C$77=0,0,$AA61/'Control Panel'!$C$77),0))</f>
        <v>0</v>
      </c>
      <c r="W61" s="234">
        <f>IF(W$4&lt;$Z61,"",IF(SUM($D61:V61)&lt;$AA61,IF('Control Panel'!$C$77=0,0,$AA61/'Control Panel'!$C$77),0))</f>
        <v>0</v>
      </c>
      <c r="X61" s="235">
        <f>IF(X$4&lt;$Z61,"",IF(SUM($D61:W61)&lt;$AA61,IF('Control Panel'!$C$77=0,0,$AA61/'Control Panel'!$C$77),0))</f>
        <v>0</v>
      </c>
      <c r="Y61" s="143"/>
      <c r="Z61" s="232">
        <f t="shared" si="10"/>
        <v>12</v>
      </c>
      <c r="AA61" s="143">
        <v>0</v>
      </c>
    </row>
    <row r="62" spans="2:27" outlineLevel="1">
      <c r="B62" s="191"/>
      <c r="C62" s="37"/>
      <c r="D62" s="37"/>
      <c r="E62" s="233" t="str">
        <f>IF(E$4&lt;$Z62,"",IF(SUM($D62:D62)&lt;$AA62,IF('Control Panel'!$C$77=0,0,$AA62/'Control Panel'!$C$77),0))</f>
        <v/>
      </c>
      <c r="F62" s="234" t="str">
        <f>IF(F$4&lt;$Z62,"",IF(SUM($D62:E62)&lt;$AA62,IF('Control Panel'!$C$77=0,0,$AA62/'Control Panel'!$C$77),0))</f>
        <v/>
      </c>
      <c r="G62" s="234" t="str">
        <f>IF(G$4&lt;$Z62,"",IF(SUM($D62:F62)&lt;$AA62,IF('Control Panel'!$C$77=0,0,$AA62/'Control Panel'!$C$77),0))</f>
        <v/>
      </c>
      <c r="H62" s="234" t="str">
        <f>IF(H$4&lt;$Z62,"",IF(SUM($D62:G62)&lt;$AA62,IF('Control Panel'!$C$77=0,0,$AA62/'Control Panel'!$C$77),0))</f>
        <v/>
      </c>
      <c r="I62" s="234" t="str">
        <f>IF(I$4&lt;$Z62,"",IF(SUM($D62:H62)&lt;$AA62,IF('Control Panel'!$C$77=0,0,$AA62/'Control Panel'!$C$77),0))</f>
        <v/>
      </c>
      <c r="J62" s="234" t="str">
        <f>IF(J$4&lt;$Z62,"",IF(SUM($D62:I62)&lt;$AA62,IF('Control Panel'!$C$77=0,0,$AA62/'Control Panel'!$C$77),0))</f>
        <v/>
      </c>
      <c r="K62" s="234" t="str">
        <f>IF(K$4&lt;$Z62,"",IF(SUM($D62:J62)&lt;$AA62,IF('Control Panel'!$C$77=0,0,$AA62/'Control Panel'!$C$77),0))</f>
        <v/>
      </c>
      <c r="L62" s="234" t="str">
        <f>IF(L$4&lt;$Z62,"",IF(SUM($D62:K62)&lt;$AA62,IF('Control Panel'!$C$77=0,0,$AA62/'Control Panel'!$C$77),0))</f>
        <v/>
      </c>
      <c r="M62" s="234" t="str">
        <f>IF(M$4&lt;$Z62,"",IF(SUM($D62:L62)&lt;$AA62,IF('Control Panel'!$C$77=0,0,$AA62/'Control Panel'!$C$77),0))</f>
        <v/>
      </c>
      <c r="N62" s="234" t="str">
        <f>IF(N$4&lt;$Z62,"",IF(SUM($D62:M62)&lt;$AA62,IF('Control Panel'!$C$77=0,0,$AA62/'Control Panel'!$C$77),0))</f>
        <v/>
      </c>
      <c r="O62" s="234" t="str">
        <f>IF(O$4&lt;$Z62,"",IF(SUM($D62:N62)&lt;$AA62,IF('Control Panel'!$C$77=0,0,$AA62/'Control Panel'!$C$77),0))</f>
        <v/>
      </c>
      <c r="P62" s="234" t="str">
        <f>IF(P$4&lt;$Z62,"",IF(SUM($D62:O62)&lt;$AA62,IF('Control Panel'!$C$77=0,0,$AA62/'Control Panel'!$C$77),0))</f>
        <v/>
      </c>
      <c r="Q62" s="234">
        <f>IF(Q$4&lt;$Z62,"",IF(SUM($D62:P62)&lt;$AA62,IF('Control Panel'!$C$77=0,0,$AA62/'Control Panel'!$C$77),0))</f>
        <v>0</v>
      </c>
      <c r="R62" s="234">
        <f>IF(R$4&lt;$Z62,"",IF(SUM($D62:Q62)&lt;$AA62,IF('Control Panel'!$C$77=0,0,$AA62/'Control Panel'!$C$77),0))</f>
        <v>0</v>
      </c>
      <c r="S62" s="234">
        <f>IF(S$4&lt;$Z62,"",IF(SUM($D62:R62)&lt;$AA62,IF('Control Panel'!$C$77=0,0,$AA62/'Control Panel'!$C$77),0))</f>
        <v>0</v>
      </c>
      <c r="T62" s="234">
        <f>IF(T$4&lt;$Z62,"",IF(SUM($D62:S62)&lt;$AA62,IF('Control Panel'!$C$77=0,0,$AA62/'Control Panel'!$C$77),0))</f>
        <v>0</v>
      </c>
      <c r="U62" s="234">
        <f>IF(U$4&lt;$Z62,"",IF(SUM($D62:T62)&lt;$AA62,IF('Control Panel'!$C$77=0,0,$AA62/'Control Panel'!$C$77),0))</f>
        <v>0</v>
      </c>
      <c r="V62" s="234">
        <f>IF(V$4&lt;$Z62,"",IF(SUM($D62:U62)&lt;$AA62,IF('Control Panel'!$C$77=0,0,$AA62/'Control Panel'!$C$77),0))</f>
        <v>0</v>
      </c>
      <c r="W62" s="234">
        <f>IF(W$4&lt;$Z62,"",IF(SUM($D62:V62)&lt;$AA62,IF('Control Panel'!$C$77=0,0,$AA62/'Control Panel'!$C$77),0))</f>
        <v>0</v>
      </c>
      <c r="X62" s="235">
        <f>IF(X$4&lt;$Z62,"",IF(SUM($D62:W62)&lt;$AA62,IF('Control Panel'!$C$77=0,0,$AA62/'Control Panel'!$C$77),0))</f>
        <v>0</v>
      </c>
      <c r="Y62" s="143"/>
      <c r="Z62" s="232">
        <f t="shared" si="10"/>
        <v>13</v>
      </c>
      <c r="AA62" s="143">
        <v>0</v>
      </c>
    </row>
    <row r="63" spans="2:27" outlineLevel="1">
      <c r="B63" s="191"/>
      <c r="C63" s="37"/>
      <c r="D63" s="37"/>
      <c r="E63" s="233" t="str">
        <f>IF(E$4&lt;$Z63,"",IF(SUM($D63:D63)&lt;$AA63,IF('Control Panel'!$C$77=0,0,$AA63/'Control Panel'!$C$77),0))</f>
        <v/>
      </c>
      <c r="F63" s="234" t="str">
        <f>IF(F$4&lt;$Z63,"",IF(SUM($D63:E63)&lt;$AA63,IF('Control Panel'!$C$77=0,0,$AA63/'Control Panel'!$C$77),0))</f>
        <v/>
      </c>
      <c r="G63" s="234" t="str">
        <f>IF(G$4&lt;$Z63,"",IF(SUM($D63:F63)&lt;$AA63,IF('Control Panel'!$C$77=0,0,$AA63/'Control Panel'!$C$77),0))</f>
        <v/>
      </c>
      <c r="H63" s="234" t="str">
        <f>IF(H$4&lt;$Z63,"",IF(SUM($D63:G63)&lt;$AA63,IF('Control Panel'!$C$77=0,0,$AA63/'Control Panel'!$C$77),0))</f>
        <v/>
      </c>
      <c r="I63" s="234" t="str">
        <f>IF(I$4&lt;$Z63,"",IF(SUM($D63:H63)&lt;$AA63,IF('Control Panel'!$C$77=0,0,$AA63/'Control Panel'!$C$77),0))</f>
        <v/>
      </c>
      <c r="J63" s="234" t="str">
        <f>IF(J$4&lt;$Z63,"",IF(SUM($D63:I63)&lt;$AA63,IF('Control Panel'!$C$77=0,0,$AA63/'Control Panel'!$C$77),0))</f>
        <v/>
      </c>
      <c r="K63" s="234" t="str">
        <f>IF(K$4&lt;$Z63,"",IF(SUM($D63:J63)&lt;$AA63,IF('Control Panel'!$C$77=0,0,$AA63/'Control Panel'!$C$77),0))</f>
        <v/>
      </c>
      <c r="L63" s="234" t="str">
        <f>IF(L$4&lt;$Z63,"",IF(SUM($D63:K63)&lt;$AA63,IF('Control Panel'!$C$77=0,0,$AA63/'Control Panel'!$C$77),0))</f>
        <v/>
      </c>
      <c r="M63" s="234" t="str">
        <f>IF(M$4&lt;$Z63,"",IF(SUM($D63:L63)&lt;$AA63,IF('Control Panel'!$C$77=0,0,$AA63/'Control Panel'!$C$77),0))</f>
        <v/>
      </c>
      <c r="N63" s="234" t="str">
        <f>IF(N$4&lt;$Z63,"",IF(SUM($D63:M63)&lt;$AA63,IF('Control Panel'!$C$77=0,0,$AA63/'Control Panel'!$C$77),0))</f>
        <v/>
      </c>
      <c r="O63" s="234" t="str">
        <f>IF(O$4&lt;$Z63,"",IF(SUM($D63:N63)&lt;$AA63,IF('Control Panel'!$C$77=0,0,$AA63/'Control Panel'!$C$77),0))</f>
        <v/>
      </c>
      <c r="P63" s="234" t="str">
        <f>IF(P$4&lt;$Z63,"",IF(SUM($D63:O63)&lt;$AA63,IF('Control Panel'!$C$77=0,0,$AA63/'Control Panel'!$C$77),0))</f>
        <v/>
      </c>
      <c r="Q63" s="234" t="str">
        <f>IF(Q$4&lt;$Z63,"",IF(SUM($D63:P63)&lt;$AA63,IF('Control Panel'!$C$77=0,0,$AA63/'Control Panel'!$C$77),0))</f>
        <v/>
      </c>
      <c r="R63" s="234">
        <f>IF(R$4&lt;$Z63,"",IF(SUM($D63:Q63)&lt;$AA63,IF('Control Panel'!$C$77=0,0,$AA63/'Control Panel'!$C$77),0))</f>
        <v>0</v>
      </c>
      <c r="S63" s="234">
        <f>IF(S$4&lt;$Z63,"",IF(SUM($D63:R63)&lt;$AA63,IF('Control Panel'!$C$77=0,0,$AA63/'Control Panel'!$C$77),0))</f>
        <v>0</v>
      </c>
      <c r="T63" s="234">
        <f>IF(T$4&lt;$Z63,"",IF(SUM($D63:S63)&lt;$AA63,IF('Control Panel'!$C$77=0,0,$AA63/'Control Panel'!$C$77),0))</f>
        <v>0</v>
      </c>
      <c r="U63" s="234">
        <f>IF(U$4&lt;$Z63,"",IF(SUM($D63:T63)&lt;$AA63,IF('Control Panel'!$C$77=0,0,$AA63/'Control Panel'!$C$77),0))</f>
        <v>0</v>
      </c>
      <c r="V63" s="234">
        <f>IF(V$4&lt;$Z63,"",IF(SUM($D63:U63)&lt;$AA63,IF('Control Panel'!$C$77=0,0,$AA63/'Control Panel'!$C$77),0))</f>
        <v>0</v>
      </c>
      <c r="W63" s="234">
        <f>IF(W$4&lt;$Z63,"",IF(SUM($D63:V63)&lt;$AA63,IF('Control Panel'!$C$77=0,0,$AA63/'Control Panel'!$C$77),0))</f>
        <v>0</v>
      </c>
      <c r="X63" s="235">
        <f>IF(X$4&lt;$Z63,"",IF(SUM($D63:W63)&lt;$AA63,IF('Control Panel'!$C$77=0,0,$AA63/'Control Panel'!$C$77),0))</f>
        <v>0</v>
      </c>
      <c r="Y63" s="143"/>
      <c r="Z63" s="232">
        <f t="shared" si="10"/>
        <v>14</v>
      </c>
      <c r="AA63" s="143">
        <v>0</v>
      </c>
    </row>
    <row r="64" spans="2:27" outlineLevel="1">
      <c r="B64" s="191"/>
      <c r="C64" s="37"/>
      <c r="D64" s="37"/>
      <c r="E64" s="233" t="str">
        <f>IF(E$4&lt;$Z64,"",IF(SUM($D64:D64)&lt;$AA64,IF('Control Panel'!$C$77=0,0,$AA64/'Control Panel'!$C$77),0))</f>
        <v/>
      </c>
      <c r="F64" s="234" t="str">
        <f>IF(F$4&lt;$Z64,"",IF(SUM($D64:E64)&lt;$AA64,IF('Control Panel'!$C$77=0,0,$AA64/'Control Panel'!$C$77),0))</f>
        <v/>
      </c>
      <c r="G64" s="234" t="str">
        <f>IF(G$4&lt;$Z64,"",IF(SUM($D64:F64)&lt;$AA64,IF('Control Panel'!$C$77=0,0,$AA64/'Control Panel'!$C$77),0))</f>
        <v/>
      </c>
      <c r="H64" s="234" t="str">
        <f>IF(H$4&lt;$Z64,"",IF(SUM($D64:G64)&lt;$AA64,IF('Control Panel'!$C$77=0,0,$AA64/'Control Panel'!$C$77),0))</f>
        <v/>
      </c>
      <c r="I64" s="234" t="str">
        <f>IF(I$4&lt;$Z64,"",IF(SUM($D64:H64)&lt;$AA64,IF('Control Panel'!$C$77=0,0,$AA64/'Control Panel'!$C$77),0))</f>
        <v/>
      </c>
      <c r="J64" s="234" t="str">
        <f>IF(J$4&lt;$Z64,"",IF(SUM($D64:I64)&lt;$AA64,IF('Control Panel'!$C$77=0,0,$AA64/'Control Panel'!$C$77),0))</f>
        <v/>
      </c>
      <c r="K64" s="234" t="str">
        <f>IF(K$4&lt;$Z64,"",IF(SUM($D64:J64)&lt;$AA64,IF('Control Panel'!$C$77=0,0,$AA64/'Control Panel'!$C$77),0))</f>
        <v/>
      </c>
      <c r="L64" s="234" t="str">
        <f>IF(L$4&lt;$Z64,"",IF(SUM($D64:K64)&lt;$AA64,IF('Control Panel'!$C$77=0,0,$AA64/'Control Panel'!$C$77),0))</f>
        <v/>
      </c>
      <c r="M64" s="234" t="str">
        <f>IF(M$4&lt;$Z64,"",IF(SUM($D64:L64)&lt;$AA64,IF('Control Panel'!$C$77=0,0,$AA64/'Control Panel'!$C$77),0))</f>
        <v/>
      </c>
      <c r="N64" s="234" t="str">
        <f>IF(N$4&lt;$Z64,"",IF(SUM($D64:M64)&lt;$AA64,IF('Control Panel'!$C$77=0,0,$AA64/'Control Panel'!$C$77),0))</f>
        <v/>
      </c>
      <c r="O64" s="234" t="str">
        <f>IF(O$4&lt;$Z64,"",IF(SUM($D64:N64)&lt;$AA64,IF('Control Panel'!$C$77=0,0,$AA64/'Control Panel'!$C$77),0))</f>
        <v/>
      </c>
      <c r="P64" s="234" t="str">
        <f>IF(P$4&lt;$Z64,"",IF(SUM($D64:O64)&lt;$AA64,IF('Control Panel'!$C$77=0,0,$AA64/'Control Panel'!$C$77),0))</f>
        <v/>
      </c>
      <c r="Q64" s="234" t="str">
        <f>IF(Q$4&lt;$Z64,"",IF(SUM($D64:P64)&lt;$AA64,IF('Control Panel'!$C$77=0,0,$AA64/'Control Panel'!$C$77),0))</f>
        <v/>
      </c>
      <c r="R64" s="234" t="str">
        <f>IF(R$4&lt;$Z64,"",IF(SUM($D64:Q64)&lt;$AA64,IF('Control Panel'!$C$77=0,0,$AA64/'Control Panel'!$C$77),0))</f>
        <v/>
      </c>
      <c r="S64" s="234">
        <f>IF(S$4&lt;$Z64,"",IF(SUM($D64:R64)&lt;$AA64,IF('Control Panel'!$C$77=0,0,$AA64/'Control Panel'!$C$77),0))</f>
        <v>0</v>
      </c>
      <c r="T64" s="234">
        <f>IF(T$4&lt;$Z64,"",IF(SUM($D64:S64)&lt;$AA64,IF('Control Panel'!$C$77=0,0,$AA64/'Control Panel'!$C$77),0))</f>
        <v>0</v>
      </c>
      <c r="U64" s="234">
        <f>IF(U$4&lt;$Z64,"",IF(SUM($D64:T64)&lt;$AA64,IF('Control Panel'!$C$77=0,0,$AA64/'Control Panel'!$C$77),0))</f>
        <v>0</v>
      </c>
      <c r="V64" s="234">
        <f>IF(V$4&lt;$Z64,"",IF(SUM($D64:U64)&lt;$AA64,IF('Control Panel'!$C$77=0,0,$AA64/'Control Panel'!$C$77),0))</f>
        <v>0</v>
      </c>
      <c r="W64" s="234">
        <f>IF(W$4&lt;$Z64,"",IF(SUM($D64:V64)&lt;$AA64,IF('Control Panel'!$C$77=0,0,$AA64/'Control Panel'!$C$77),0))</f>
        <v>0</v>
      </c>
      <c r="X64" s="235">
        <f>IF(X$4&lt;$Z64,"",IF(SUM($D64:W64)&lt;$AA64,IF('Control Panel'!$C$77=0,0,$AA64/'Control Panel'!$C$77),0))</f>
        <v>0</v>
      </c>
      <c r="Y64" s="143"/>
      <c r="Z64" s="232">
        <f t="shared" si="10"/>
        <v>15</v>
      </c>
      <c r="AA64" s="143">
        <v>0</v>
      </c>
    </row>
    <row r="65" spans="2:38" outlineLevel="1">
      <c r="B65" s="191"/>
      <c r="C65" s="37"/>
      <c r="D65" s="37"/>
      <c r="E65" s="233" t="str">
        <f>IF(E$4&lt;$Z65,"",IF(SUM($D65:D65)&lt;$AA65,IF('Control Panel'!$C$77=0,0,$AA65/'Control Panel'!$C$77),0))</f>
        <v/>
      </c>
      <c r="F65" s="234" t="str">
        <f>IF(F$4&lt;$Z65,"",IF(SUM($D65:E65)&lt;$AA65,IF('Control Panel'!$C$77=0,0,$AA65/'Control Panel'!$C$77),0))</f>
        <v/>
      </c>
      <c r="G65" s="234" t="str">
        <f>IF(G$4&lt;$Z65,"",IF(SUM($D65:F65)&lt;$AA65,IF('Control Panel'!$C$77=0,0,$AA65/'Control Panel'!$C$77),0))</f>
        <v/>
      </c>
      <c r="H65" s="234" t="str">
        <f>IF(H$4&lt;$Z65,"",IF(SUM($D65:G65)&lt;$AA65,IF('Control Panel'!$C$77=0,0,$AA65/'Control Panel'!$C$77),0))</f>
        <v/>
      </c>
      <c r="I65" s="234" t="str">
        <f>IF(I$4&lt;$Z65,"",IF(SUM($D65:H65)&lt;$AA65,IF('Control Panel'!$C$77=0,0,$AA65/'Control Panel'!$C$77),0))</f>
        <v/>
      </c>
      <c r="J65" s="234" t="str">
        <f>IF(J$4&lt;$Z65,"",IF(SUM($D65:I65)&lt;$AA65,IF('Control Panel'!$C$77=0,0,$AA65/'Control Panel'!$C$77),0))</f>
        <v/>
      </c>
      <c r="K65" s="234" t="str">
        <f>IF(K$4&lt;$Z65,"",IF(SUM($D65:J65)&lt;$AA65,IF('Control Panel'!$C$77=0,0,$AA65/'Control Panel'!$C$77),0))</f>
        <v/>
      </c>
      <c r="L65" s="234" t="str">
        <f>IF(L$4&lt;$Z65,"",IF(SUM($D65:K65)&lt;$AA65,IF('Control Panel'!$C$77=0,0,$AA65/'Control Panel'!$C$77),0))</f>
        <v/>
      </c>
      <c r="M65" s="234" t="str">
        <f>IF(M$4&lt;$Z65,"",IF(SUM($D65:L65)&lt;$AA65,IF('Control Panel'!$C$77=0,0,$AA65/'Control Panel'!$C$77),0))</f>
        <v/>
      </c>
      <c r="N65" s="234" t="str">
        <f>IF(N$4&lt;$Z65,"",IF(SUM($D65:M65)&lt;$AA65,IF('Control Panel'!$C$77=0,0,$AA65/'Control Panel'!$C$77),0))</f>
        <v/>
      </c>
      <c r="O65" s="234" t="str">
        <f>IF(O$4&lt;$Z65,"",IF(SUM($D65:N65)&lt;$AA65,IF('Control Panel'!$C$77=0,0,$AA65/'Control Panel'!$C$77),0))</f>
        <v/>
      </c>
      <c r="P65" s="234" t="str">
        <f>IF(P$4&lt;$Z65,"",IF(SUM($D65:O65)&lt;$AA65,IF('Control Panel'!$C$77=0,0,$AA65/'Control Panel'!$C$77),0))</f>
        <v/>
      </c>
      <c r="Q65" s="234" t="str">
        <f>IF(Q$4&lt;$Z65,"",IF(SUM($D65:P65)&lt;$AA65,IF('Control Panel'!$C$77=0,0,$AA65/'Control Panel'!$C$77),0))</f>
        <v/>
      </c>
      <c r="R65" s="234" t="str">
        <f>IF(R$4&lt;$Z65,"",IF(SUM($D65:Q65)&lt;$AA65,IF('Control Panel'!$C$77=0,0,$AA65/'Control Panel'!$C$77),0))</f>
        <v/>
      </c>
      <c r="S65" s="234" t="str">
        <f>IF(S$4&lt;$Z65,"",IF(SUM($D65:R65)&lt;$AA65,IF('Control Panel'!$C$77=0,0,$AA65/'Control Panel'!$C$77),0))</f>
        <v/>
      </c>
      <c r="T65" s="234">
        <f>IF(T$4&lt;$Z65,"",IF(SUM($D65:S65)&lt;$AA65,IF('Control Panel'!$C$77=0,0,$AA65/'Control Panel'!$C$77),0))</f>
        <v>0</v>
      </c>
      <c r="U65" s="234">
        <f>IF(U$4&lt;$Z65,"",IF(SUM($D65:T65)&lt;$AA65,IF('Control Panel'!$C$77=0,0,$AA65/'Control Panel'!$C$77),0))</f>
        <v>0</v>
      </c>
      <c r="V65" s="234">
        <f>IF(V$4&lt;$Z65,"",IF(SUM($D65:U65)&lt;$AA65,IF('Control Panel'!$C$77=0,0,$AA65/'Control Panel'!$C$77),0))</f>
        <v>0</v>
      </c>
      <c r="W65" s="234">
        <f>IF(W$4&lt;$Z65,"",IF(SUM($D65:V65)&lt;$AA65,IF('Control Panel'!$C$77=0,0,$AA65/'Control Panel'!$C$77),0))</f>
        <v>0</v>
      </c>
      <c r="X65" s="235">
        <f>IF(X$4&lt;$Z65,"",IF(SUM($D65:W65)&lt;$AA65,IF('Control Panel'!$C$77=0,0,$AA65/'Control Panel'!$C$77),0))</f>
        <v>0</v>
      </c>
      <c r="Y65" s="143"/>
      <c r="Z65" s="232">
        <f t="shared" si="10"/>
        <v>16</v>
      </c>
      <c r="AA65" s="143">
        <v>0</v>
      </c>
    </row>
    <row r="66" spans="2:38" outlineLevel="1">
      <c r="C66" s="37"/>
      <c r="D66" s="37"/>
      <c r="E66" s="233" t="str">
        <f>IF(E$4&lt;$Z66,"",IF(SUM($D66:D66)&lt;$AA66,IF('Control Panel'!$C$77=0,0,$AA66/'Control Panel'!$C$77),0))</f>
        <v/>
      </c>
      <c r="F66" s="234" t="str">
        <f>IF(F$4&lt;$Z66,"",IF(SUM($D66:E66)&lt;$AA66,IF('Control Panel'!$C$77=0,0,$AA66/'Control Panel'!$C$77),0))</f>
        <v/>
      </c>
      <c r="G66" s="234" t="str">
        <f>IF(G$4&lt;$Z66,"",IF(SUM($D66:F66)&lt;$AA66,IF('Control Panel'!$C$77=0,0,$AA66/'Control Panel'!$C$77),0))</f>
        <v/>
      </c>
      <c r="H66" s="234" t="str">
        <f>IF(H$4&lt;$Z66,"",IF(SUM($D66:G66)&lt;$AA66,IF('Control Panel'!$C$77=0,0,$AA66/'Control Panel'!$C$77),0))</f>
        <v/>
      </c>
      <c r="I66" s="234" t="str">
        <f>IF(I$4&lt;$Z66,"",IF(SUM($D66:H66)&lt;$AA66,IF('Control Panel'!$C$77=0,0,$AA66/'Control Panel'!$C$77),0))</f>
        <v/>
      </c>
      <c r="J66" s="234" t="str">
        <f>IF(J$4&lt;$Z66,"",IF(SUM($D66:I66)&lt;$AA66,IF('Control Panel'!$C$77=0,0,$AA66/'Control Panel'!$C$77),0))</f>
        <v/>
      </c>
      <c r="K66" s="234" t="str">
        <f>IF(K$4&lt;$Z66,"",IF(SUM($D66:J66)&lt;$AA66,IF('Control Panel'!$C$77=0,0,$AA66/'Control Panel'!$C$77),0))</f>
        <v/>
      </c>
      <c r="L66" s="234" t="str">
        <f>IF(L$4&lt;$Z66,"",IF(SUM($D66:K66)&lt;$AA66,IF('Control Panel'!$C$77=0,0,$AA66/'Control Panel'!$C$77),0))</f>
        <v/>
      </c>
      <c r="M66" s="234" t="str">
        <f>IF(M$4&lt;$Z66,"",IF(SUM($D66:L66)&lt;$AA66,IF('Control Panel'!$C$77=0,0,$AA66/'Control Panel'!$C$77),0))</f>
        <v/>
      </c>
      <c r="N66" s="234" t="str">
        <f>IF(N$4&lt;$Z66,"",IF(SUM($D66:M66)&lt;$AA66,IF('Control Panel'!$C$77=0,0,$AA66/'Control Panel'!$C$77),0))</f>
        <v/>
      </c>
      <c r="O66" s="234" t="str">
        <f>IF(O$4&lt;$Z66,"",IF(SUM($D66:N66)&lt;$AA66,IF('Control Panel'!$C$77=0,0,$AA66/'Control Panel'!$C$77),0))</f>
        <v/>
      </c>
      <c r="P66" s="234" t="str">
        <f>IF(P$4&lt;$Z66,"",IF(SUM($D66:O66)&lt;$AA66,IF('Control Panel'!$C$77=0,0,$AA66/'Control Panel'!$C$77),0))</f>
        <v/>
      </c>
      <c r="Q66" s="234" t="str">
        <f>IF(Q$4&lt;$Z66,"",IF(SUM($D66:P66)&lt;$AA66,IF('Control Panel'!$C$77=0,0,$AA66/'Control Panel'!$C$77),0))</f>
        <v/>
      </c>
      <c r="R66" s="234" t="str">
        <f>IF(R$4&lt;$Z66,"",IF(SUM($D66:Q66)&lt;$AA66,IF('Control Panel'!$C$77=0,0,$AA66/'Control Panel'!$C$77),0))</f>
        <v/>
      </c>
      <c r="S66" s="234" t="str">
        <f>IF(S$4&lt;$Z66,"",IF(SUM($D66:R66)&lt;$AA66,IF('Control Panel'!$C$77=0,0,$AA66/'Control Panel'!$C$77),0))</f>
        <v/>
      </c>
      <c r="T66" s="234" t="str">
        <f>IF(T$4&lt;$Z66,"",IF(SUM($D66:S66)&lt;$AA66,IF('Control Panel'!$C$77=0,0,$AA66/'Control Panel'!$C$77),0))</f>
        <v/>
      </c>
      <c r="U66" s="234">
        <f>IF(U$4&lt;$Z66,"",IF(SUM($D66:T66)&lt;$AA66,IF('Control Panel'!$C$77=0,0,$AA66/'Control Panel'!$C$77),0))</f>
        <v>0</v>
      </c>
      <c r="V66" s="234">
        <f>IF(V$4&lt;$Z66,"",IF(SUM($D66:U66)&lt;$AA66,IF('Control Panel'!$C$77=0,0,$AA66/'Control Panel'!$C$77),0))</f>
        <v>0</v>
      </c>
      <c r="W66" s="234">
        <f>IF(W$4&lt;$Z66,"",IF(SUM($D66:V66)&lt;$AA66,IF('Control Panel'!$C$77=0,0,$AA66/'Control Panel'!$C$77),0))</f>
        <v>0</v>
      </c>
      <c r="X66" s="235">
        <f>IF(X$4&lt;$Z66,"",IF(SUM($D66:W66)&lt;$AA66,IF('Control Panel'!$C$77=0,0,$AA66/'Control Panel'!$C$77),0))</f>
        <v>0</v>
      </c>
      <c r="Y66" s="143"/>
      <c r="Z66" s="232">
        <f t="shared" si="10"/>
        <v>17</v>
      </c>
      <c r="AA66" s="143">
        <v>0</v>
      </c>
    </row>
    <row r="67" spans="2:38" outlineLevel="1">
      <c r="C67" s="37"/>
      <c r="D67" s="37"/>
      <c r="E67" s="233" t="str">
        <f>IF(E$4&lt;$Z67,"",IF(SUM($D67:D67)&lt;$AA67,IF('Control Panel'!$C$77=0,0,$AA67/'Control Panel'!$C$77),0))</f>
        <v/>
      </c>
      <c r="F67" s="234" t="str">
        <f>IF(F$4&lt;$Z67,"",IF(SUM($D67:E67)&lt;$AA67,IF('Control Panel'!$C$77=0,0,$AA67/'Control Panel'!$C$77),0))</f>
        <v/>
      </c>
      <c r="G67" s="234" t="str">
        <f>IF(G$4&lt;$Z67,"",IF(SUM($D67:F67)&lt;$AA67,IF('Control Panel'!$C$77=0,0,$AA67/'Control Panel'!$C$77),0))</f>
        <v/>
      </c>
      <c r="H67" s="234" t="str">
        <f>IF(H$4&lt;$Z67,"",IF(SUM($D67:G67)&lt;$AA67,IF('Control Panel'!$C$77=0,0,$AA67/'Control Panel'!$C$77),0))</f>
        <v/>
      </c>
      <c r="I67" s="234" t="str">
        <f>IF(I$4&lt;$Z67,"",IF(SUM($D67:H67)&lt;$AA67,IF('Control Panel'!$C$77=0,0,$AA67/'Control Panel'!$C$77),0))</f>
        <v/>
      </c>
      <c r="J67" s="234" t="str">
        <f>IF(J$4&lt;$Z67,"",IF(SUM($D67:I67)&lt;$AA67,IF('Control Panel'!$C$77=0,0,$AA67/'Control Panel'!$C$77),0))</f>
        <v/>
      </c>
      <c r="K67" s="234" t="str">
        <f>IF(K$4&lt;$Z67,"",IF(SUM($D67:J67)&lt;$AA67,IF('Control Panel'!$C$77=0,0,$AA67/'Control Panel'!$C$77),0))</f>
        <v/>
      </c>
      <c r="L67" s="234" t="str">
        <f>IF(L$4&lt;$Z67,"",IF(SUM($D67:K67)&lt;$AA67,IF('Control Panel'!$C$77=0,0,$AA67/'Control Panel'!$C$77),0))</f>
        <v/>
      </c>
      <c r="M67" s="234" t="str">
        <f>IF(M$4&lt;$Z67,"",IF(SUM($D67:L67)&lt;$AA67,IF('Control Panel'!$C$77=0,0,$AA67/'Control Panel'!$C$77),0))</f>
        <v/>
      </c>
      <c r="N67" s="234" t="str">
        <f>IF(N$4&lt;$Z67,"",IF(SUM($D67:M67)&lt;$AA67,IF('Control Panel'!$C$77=0,0,$AA67/'Control Panel'!$C$77),0))</f>
        <v/>
      </c>
      <c r="O67" s="234" t="str">
        <f>IF(O$4&lt;$Z67,"",IF(SUM($D67:N67)&lt;$AA67,IF('Control Panel'!$C$77=0,0,$AA67/'Control Panel'!$C$77),0))</f>
        <v/>
      </c>
      <c r="P67" s="234" t="str">
        <f>IF(P$4&lt;$Z67,"",IF(SUM($D67:O67)&lt;$AA67,IF('Control Panel'!$C$77=0,0,$AA67/'Control Panel'!$C$77),0))</f>
        <v/>
      </c>
      <c r="Q67" s="234" t="str">
        <f>IF(Q$4&lt;$Z67,"",IF(SUM($D67:P67)&lt;$AA67,IF('Control Panel'!$C$77=0,0,$AA67/'Control Panel'!$C$77),0))</f>
        <v/>
      </c>
      <c r="R67" s="234" t="str">
        <f>IF(R$4&lt;$Z67,"",IF(SUM($D67:Q67)&lt;$AA67,IF('Control Panel'!$C$77=0,0,$AA67/'Control Panel'!$C$77),0))</f>
        <v/>
      </c>
      <c r="S67" s="234" t="str">
        <f>IF(S$4&lt;$Z67,"",IF(SUM($D67:R67)&lt;$AA67,IF('Control Panel'!$C$77=0,0,$AA67/'Control Panel'!$C$77),0))</f>
        <v/>
      </c>
      <c r="T67" s="234" t="str">
        <f>IF(T$4&lt;$Z67,"",IF(SUM($D67:S67)&lt;$AA67,IF('Control Panel'!$C$77=0,0,$AA67/'Control Panel'!$C$77),0))</f>
        <v/>
      </c>
      <c r="U67" s="234" t="str">
        <f>IF(U$4&lt;$Z67,"",IF(SUM($D67:T67)&lt;$AA67,IF('Control Panel'!$C$77=0,0,$AA67/'Control Panel'!$C$77),0))</f>
        <v/>
      </c>
      <c r="V67" s="234">
        <f>IF(V$4&lt;$Z67,"",IF(SUM($D67:U67)&lt;$AA67,IF('Control Panel'!$C$77=0,0,$AA67/'Control Panel'!$C$77),0))</f>
        <v>0</v>
      </c>
      <c r="W67" s="234">
        <f>IF(W$4&lt;$Z67,"",IF(SUM($D67:V67)&lt;$AA67,IF('Control Panel'!$C$77=0,0,$AA67/'Control Panel'!$C$77),0))</f>
        <v>0</v>
      </c>
      <c r="X67" s="235">
        <f>IF(X$4&lt;$Z67,"",IF(SUM($D67:W67)&lt;$AA67,IF('Control Panel'!$C$77=0,0,$AA67/'Control Panel'!$C$77),0))</f>
        <v>0</v>
      </c>
      <c r="Y67" s="143"/>
      <c r="Z67" s="232">
        <f t="shared" si="10"/>
        <v>18</v>
      </c>
      <c r="AA67" s="143">
        <v>0</v>
      </c>
    </row>
    <row r="68" spans="2:38" outlineLevel="1">
      <c r="C68" s="37"/>
      <c r="D68" s="37"/>
      <c r="E68" s="233" t="str">
        <f>IF(E$4&lt;$Z68,"",IF(SUM($D68:D68)&lt;$AA68,IF('Control Panel'!$C$77=0,0,$AA68/'Control Panel'!$C$77),0))</f>
        <v/>
      </c>
      <c r="F68" s="234" t="str">
        <f>IF(F$4&lt;$Z68,"",IF(SUM($D68:E68)&lt;$AA68,IF('Control Panel'!$C$77=0,0,$AA68/'Control Panel'!$C$77),0))</f>
        <v/>
      </c>
      <c r="G68" s="234" t="str">
        <f>IF(G$4&lt;$Z68,"",IF(SUM($D68:F68)&lt;$AA68,IF('Control Panel'!$C$77=0,0,$AA68/'Control Panel'!$C$77),0))</f>
        <v/>
      </c>
      <c r="H68" s="234" t="str">
        <f>IF(H$4&lt;$Z68,"",IF(SUM($D68:G68)&lt;$AA68,IF('Control Panel'!$C$77=0,0,$AA68/'Control Panel'!$C$77),0))</f>
        <v/>
      </c>
      <c r="I68" s="234" t="str">
        <f>IF(I$4&lt;$Z68,"",IF(SUM($D68:H68)&lt;$AA68,IF('Control Panel'!$C$77=0,0,$AA68/'Control Panel'!$C$77),0))</f>
        <v/>
      </c>
      <c r="J68" s="234" t="str">
        <f>IF(J$4&lt;$Z68,"",IF(SUM($D68:I68)&lt;$AA68,IF('Control Panel'!$C$77=0,0,$AA68/'Control Panel'!$C$77),0))</f>
        <v/>
      </c>
      <c r="K68" s="234" t="str">
        <f>IF(K$4&lt;$Z68,"",IF(SUM($D68:J68)&lt;$AA68,IF('Control Panel'!$C$77=0,0,$AA68/'Control Panel'!$C$77),0))</f>
        <v/>
      </c>
      <c r="L68" s="234" t="str">
        <f>IF(L$4&lt;$Z68,"",IF(SUM($D68:K68)&lt;$AA68,IF('Control Panel'!$C$77=0,0,$AA68/'Control Panel'!$C$77),0))</f>
        <v/>
      </c>
      <c r="M68" s="234" t="str">
        <f>IF(M$4&lt;$Z68,"",IF(SUM($D68:L68)&lt;$AA68,IF('Control Panel'!$C$77=0,0,$AA68/'Control Panel'!$C$77),0))</f>
        <v/>
      </c>
      <c r="N68" s="234" t="str">
        <f>IF(N$4&lt;$Z68,"",IF(SUM($D68:M68)&lt;$AA68,IF('Control Panel'!$C$77=0,0,$AA68/'Control Panel'!$C$77),0))</f>
        <v/>
      </c>
      <c r="O68" s="234" t="str">
        <f>IF(O$4&lt;$Z68,"",IF(SUM($D68:N68)&lt;$AA68,IF('Control Panel'!$C$77=0,0,$AA68/'Control Panel'!$C$77),0))</f>
        <v/>
      </c>
      <c r="P68" s="234" t="str">
        <f>IF(P$4&lt;$Z68,"",IF(SUM($D68:O68)&lt;$AA68,IF('Control Panel'!$C$77=0,0,$AA68/'Control Panel'!$C$77),0))</f>
        <v/>
      </c>
      <c r="Q68" s="234" t="str">
        <f>IF(Q$4&lt;$Z68,"",IF(SUM($D68:P68)&lt;$AA68,IF('Control Panel'!$C$77=0,0,$AA68/'Control Panel'!$C$77),0))</f>
        <v/>
      </c>
      <c r="R68" s="234" t="str">
        <f>IF(R$4&lt;$Z68,"",IF(SUM($D68:Q68)&lt;$AA68,IF('Control Panel'!$C$77=0,0,$AA68/'Control Panel'!$C$77),0))</f>
        <v/>
      </c>
      <c r="S68" s="234" t="str">
        <f>IF(S$4&lt;$Z68,"",IF(SUM($D68:R68)&lt;$AA68,IF('Control Panel'!$C$77=0,0,$AA68/'Control Panel'!$C$77),0))</f>
        <v/>
      </c>
      <c r="T68" s="234" t="str">
        <f>IF(T$4&lt;$Z68,"",IF(SUM($D68:S68)&lt;$AA68,IF('Control Panel'!$C$77=0,0,$AA68/'Control Panel'!$C$77),0))</f>
        <v/>
      </c>
      <c r="U68" s="234" t="str">
        <f>IF(U$4&lt;$Z68,"",IF(SUM($D68:T68)&lt;$AA68,IF('Control Panel'!$C$77=0,0,$AA68/'Control Panel'!$C$77),0))</f>
        <v/>
      </c>
      <c r="V68" s="234" t="str">
        <f>IF(V$4&lt;$Z68,"",IF(SUM($D68:U68)&lt;$AA68,IF('Control Panel'!$C$77=0,0,$AA68/'Control Panel'!$C$77),0))</f>
        <v/>
      </c>
      <c r="W68" s="234">
        <f>IF(W$4&lt;$Z68,"",IF(SUM($D68:V68)&lt;$AA68,IF('Control Panel'!$C$77=0,0,$AA68/'Control Panel'!$C$77),0))</f>
        <v>0</v>
      </c>
      <c r="X68" s="235">
        <f>IF(X$4&lt;$Z68,"",IF(SUM($D68:W68)&lt;$AA68,IF('Control Panel'!$C$77=0,0,$AA68/'Control Panel'!$C$77),0))</f>
        <v>0</v>
      </c>
      <c r="Y68" s="143"/>
      <c r="Z68" s="232">
        <f t="shared" si="10"/>
        <v>19</v>
      </c>
      <c r="AA68" s="143">
        <v>0</v>
      </c>
    </row>
    <row r="69" spans="2:38" outlineLevel="1">
      <c r="C69" s="37"/>
      <c r="D69" s="37"/>
      <c r="E69" s="237" t="str">
        <f>IF(E$4&lt;$Z69,"",IF(SUM($D69:D69)&lt;$AA69,IF('Control Panel'!$C$77=0,0,$AA69/'Control Panel'!$C$77),0))</f>
        <v/>
      </c>
      <c r="F69" s="158" t="str">
        <f>IF(F$4&lt;$Z69,"",IF(SUM($D69:E69)&lt;$AA69,IF('Control Panel'!$C$77=0,0,$AA69/'Control Panel'!$C$77),0))</f>
        <v/>
      </c>
      <c r="G69" s="158" t="str">
        <f>IF(G$4&lt;$Z69,"",IF(SUM($D69:F69)&lt;$AA69,IF('Control Panel'!$C$77=0,0,$AA69/'Control Panel'!$C$77),0))</f>
        <v/>
      </c>
      <c r="H69" s="158" t="str">
        <f>IF(H$4&lt;$Z69,"",IF(SUM($D69:G69)&lt;$AA69,IF('Control Panel'!$C$77=0,0,$AA69/'Control Panel'!$C$77),0))</f>
        <v/>
      </c>
      <c r="I69" s="158" t="str">
        <f>IF(I$4&lt;$Z69,"",IF(SUM($D69:H69)&lt;$AA69,IF('Control Panel'!$C$77=0,0,$AA69/'Control Panel'!$C$77),0))</f>
        <v/>
      </c>
      <c r="J69" s="158" t="str">
        <f>IF(J$4&lt;$Z69,"",IF(SUM($D69:I69)&lt;$AA69,IF('Control Panel'!$C$77=0,0,$AA69/'Control Panel'!$C$77),0))</f>
        <v/>
      </c>
      <c r="K69" s="158" t="str">
        <f>IF(K$4&lt;$Z69,"",IF(SUM($D69:J69)&lt;$AA69,IF('Control Panel'!$C$77=0,0,$AA69/'Control Panel'!$C$77),0))</f>
        <v/>
      </c>
      <c r="L69" s="158" t="str">
        <f>IF(L$4&lt;$Z69,"",IF(SUM($D69:K69)&lt;$AA69,IF('Control Panel'!$C$77=0,0,$AA69/'Control Panel'!$C$77),0))</f>
        <v/>
      </c>
      <c r="M69" s="158" t="str">
        <f>IF(M$4&lt;$Z69,"",IF(SUM($D69:L69)&lt;$AA69,IF('Control Panel'!$C$77=0,0,$AA69/'Control Panel'!$C$77),0))</f>
        <v/>
      </c>
      <c r="N69" s="158" t="str">
        <f>IF(N$4&lt;$Z69,"",IF(SUM($D69:M69)&lt;$AA69,IF('Control Panel'!$C$77=0,0,$AA69/'Control Panel'!$C$77),0))</f>
        <v/>
      </c>
      <c r="O69" s="158" t="str">
        <f>IF(O$4&lt;$Z69,"",IF(SUM($D69:N69)&lt;$AA69,IF('Control Panel'!$C$77=0,0,$AA69/'Control Panel'!$C$77),0))</f>
        <v/>
      </c>
      <c r="P69" s="158" t="str">
        <f>IF(P$4&lt;$Z69,"",IF(SUM($D69:O69)&lt;$AA69,IF('Control Panel'!$C$77=0,0,$AA69/'Control Panel'!$C$77),0))</f>
        <v/>
      </c>
      <c r="Q69" s="158" t="str">
        <f>IF(Q$4&lt;$Z69,"",IF(SUM($D69:P69)&lt;$AA69,IF('Control Panel'!$C$77=0,0,$AA69/'Control Panel'!$C$77),0))</f>
        <v/>
      </c>
      <c r="R69" s="158" t="str">
        <f>IF(R$4&lt;$Z69,"",IF(SUM($D69:Q69)&lt;$AA69,IF('Control Panel'!$C$77=0,0,$AA69/'Control Panel'!$C$77),0))</f>
        <v/>
      </c>
      <c r="S69" s="158" t="str">
        <f>IF(S$4&lt;$Z69,"",IF(SUM($D69:R69)&lt;$AA69,IF('Control Panel'!$C$77=0,0,$AA69/'Control Panel'!$C$77),0))</f>
        <v/>
      </c>
      <c r="T69" s="158" t="str">
        <f>IF(T$4&lt;$Z69,"",IF(SUM($D69:S69)&lt;$AA69,IF('Control Panel'!$C$77=0,0,$AA69/'Control Panel'!$C$77),0))</f>
        <v/>
      </c>
      <c r="U69" s="158" t="str">
        <f>IF(U$4&lt;$Z69,"",IF(SUM($D69:T69)&lt;$AA69,IF('Control Panel'!$C$77=0,0,$AA69/'Control Panel'!$C$77),0))</f>
        <v/>
      </c>
      <c r="V69" s="158" t="str">
        <f>IF(V$4&lt;$Z69,"",IF(SUM($D69:U69)&lt;$AA69,IF('Control Panel'!$C$77=0,0,$AA69/'Control Panel'!$C$77),0))</f>
        <v/>
      </c>
      <c r="W69" s="158" t="str">
        <f>IF(W$4&lt;$Z69,"",IF(SUM($D69:V69)&lt;$AA69,IF('Control Panel'!$C$77=0,0,$AA69/'Control Panel'!$C$77),0))</f>
        <v/>
      </c>
      <c r="X69" s="238">
        <f>IF(X$4&lt;$Z69,"",IF(SUM($D69:W69)&lt;$AA69,IF('Control Panel'!$C$77=0,0,$AA69/'Control Panel'!$C$77),0))</f>
        <v>0</v>
      </c>
      <c r="Y69" s="143"/>
      <c r="Z69" s="232">
        <f t="shared" si="10"/>
        <v>20</v>
      </c>
      <c r="AA69" s="143">
        <v>0</v>
      </c>
    </row>
    <row r="70" spans="2:38" outlineLevel="1">
      <c r="C70" s="37"/>
      <c r="D70" s="37"/>
      <c r="E70" s="236">
        <f>SUM(E50:E69)</f>
        <v>0</v>
      </c>
      <c r="F70" s="236">
        <f>SUM(F50:F69)</f>
        <v>397500000</v>
      </c>
      <c r="G70" s="236">
        <f t="shared" ref="G70" si="11">SUM(G50:G69)</f>
        <v>795000000</v>
      </c>
      <c r="H70" s="236">
        <f t="shared" ref="H70" si="12">SUM(H50:H69)</f>
        <v>795000000</v>
      </c>
      <c r="I70" s="236">
        <f t="shared" ref="I70" si="13">SUM(I50:I69)</f>
        <v>795000000</v>
      </c>
      <c r="J70" s="236">
        <f t="shared" ref="J70" si="14">SUM(J50:J69)</f>
        <v>795000000</v>
      </c>
      <c r="K70" s="236">
        <f t="shared" ref="K70" si="15">SUM(K50:K69)</f>
        <v>795000000</v>
      </c>
      <c r="L70" s="236">
        <f t="shared" ref="L70" si="16">SUM(L50:L69)</f>
        <v>397500000</v>
      </c>
      <c r="M70" s="236">
        <f t="shared" ref="M70" si="17">SUM(M50:M69)</f>
        <v>0</v>
      </c>
      <c r="N70" s="236">
        <f t="shared" ref="N70" si="18">SUM(N50:N69)</f>
        <v>0</v>
      </c>
      <c r="O70" s="236">
        <f t="shared" ref="O70" si="19">SUM(O50:O69)</f>
        <v>0</v>
      </c>
      <c r="P70" s="236">
        <f t="shared" ref="P70" si="20">SUM(P50:P69)</f>
        <v>0</v>
      </c>
      <c r="Q70" s="236">
        <f t="shared" ref="Q70" si="21">SUM(Q50:Q69)</f>
        <v>0</v>
      </c>
      <c r="R70" s="236">
        <f t="shared" ref="R70" si="22">SUM(R50:R69)</f>
        <v>0</v>
      </c>
      <c r="S70" s="236">
        <f t="shared" ref="S70" si="23">SUM(S50:S69)</f>
        <v>0</v>
      </c>
      <c r="T70" s="236">
        <f t="shared" ref="T70" si="24">SUM(T50:T69)</f>
        <v>0</v>
      </c>
      <c r="U70" s="236">
        <f t="shared" ref="U70" si="25">SUM(U50:U69)</f>
        <v>0</v>
      </c>
      <c r="V70" s="236">
        <f t="shared" ref="V70" si="26">SUM(V50:V69)</f>
        <v>0</v>
      </c>
      <c r="W70" s="236">
        <f t="shared" ref="W70" si="27">SUM(W50:W69)</f>
        <v>0</v>
      </c>
      <c r="X70" s="236">
        <f t="shared" ref="X70" si="28">SUM(X50:X69)</f>
        <v>0</v>
      </c>
      <c r="Y70" s="143"/>
      <c r="Z70" s="143"/>
      <c r="AA70" s="143"/>
    </row>
    <row r="71" spans="2:38">
      <c r="C71" s="37"/>
      <c r="D71" s="37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</row>
    <row r="72" spans="2:38" s="222" customFormat="1">
      <c r="B72" s="223" t="s">
        <v>149</v>
      </c>
      <c r="C72" s="69"/>
      <c r="D72" s="69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8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</row>
    <row r="73" spans="2:38" outlineLevel="1">
      <c r="B73" s="191" t="s">
        <v>150</v>
      </c>
      <c r="C73" s="37"/>
      <c r="D73" s="37"/>
      <c r="E73" s="143">
        <f>'Assumptions Processing'!E9</f>
        <v>25000000</v>
      </c>
      <c r="F73" s="143">
        <f>'Assumptions Processing'!F9</f>
        <v>25000000</v>
      </c>
      <c r="G73" s="143">
        <f>'Assumptions Processing'!G9</f>
        <v>50000000</v>
      </c>
      <c r="H73" s="143">
        <f>'Assumptions Processing'!H9</f>
        <v>0</v>
      </c>
      <c r="I73" s="143">
        <f>'Assumptions Processing'!I9</f>
        <v>0</v>
      </c>
      <c r="J73" s="143">
        <f>'Assumptions Processing'!J9</f>
        <v>0</v>
      </c>
      <c r="K73" s="143">
        <f>'Assumptions Processing'!K9</f>
        <v>0</v>
      </c>
      <c r="L73" s="143">
        <f>'Assumptions Processing'!L9</f>
        <v>0</v>
      </c>
      <c r="M73" s="143">
        <f>'Assumptions Processing'!M9</f>
        <v>0</v>
      </c>
      <c r="N73" s="143">
        <f>'Assumptions Processing'!N9</f>
        <v>0</v>
      </c>
      <c r="O73" s="143">
        <f>'Assumptions Processing'!O9</f>
        <v>0</v>
      </c>
      <c r="P73" s="143">
        <f>'Assumptions Processing'!P9</f>
        <v>0</v>
      </c>
      <c r="Q73" s="143">
        <f>'Assumptions Processing'!Q9</f>
        <v>0</v>
      </c>
      <c r="R73" s="143">
        <f>'Assumptions Processing'!R9</f>
        <v>0</v>
      </c>
      <c r="S73" s="143">
        <f>'Assumptions Processing'!S9</f>
        <v>0</v>
      </c>
      <c r="T73" s="143">
        <f>'Assumptions Processing'!T9</f>
        <v>0</v>
      </c>
      <c r="U73" s="143">
        <f>'Assumptions Processing'!U9</f>
        <v>0</v>
      </c>
      <c r="V73" s="143">
        <f>'Assumptions Processing'!V9</f>
        <v>0</v>
      </c>
      <c r="W73" s="143">
        <f>'Assumptions Processing'!W9</f>
        <v>0</v>
      </c>
      <c r="X73" s="143">
        <f>'Assumptions Processing'!X9</f>
        <v>0</v>
      </c>
      <c r="Y73" s="143"/>
      <c r="Z73" s="143"/>
      <c r="AA73" s="143"/>
    </row>
    <row r="74" spans="2:38" outlineLevel="1">
      <c r="B74" s="191" t="s">
        <v>151</v>
      </c>
      <c r="C74" s="37"/>
      <c r="D74" s="37"/>
      <c r="E74" s="143">
        <f>'Assumptions Processing'!E9*(1-$C$8)</f>
        <v>19875000</v>
      </c>
      <c r="F74" s="143">
        <f>'Assumptions Processing'!F9*(1-$C$8)</f>
        <v>19875000</v>
      </c>
      <c r="G74" s="143">
        <f>'Assumptions Processing'!G9*(1-$C$8)</f>
        <v>39750000</v>
      </c>
      <c r="H74" s="143">
        <f>'Assumptions Processing'!H9*(1-$C$8)</f>
        <v>0</v>
      </c>
      <c r="I74" s="143">
        <f>'Assumptions Processing'!I9*(1-$C$8)</f>
        <v>0</v>
      </c>
      <c r="J74" s="143">
        <f>'Assumptions Processing'!J9*(1-$C$8)</f>
        <v>0</v>
      </c>
      <c r="K74" s="143">
        <f>'Assumptions Processing'!K9*(1-$C$8)</f>
        <v>0</v>
      </c>
      <c r="L74" s="143">
        <f>'Assumptions Processing'!L9*(1-$C$8)</f>
        <v>0</v>
      </c>
      <c r="M74" s="143">
        <f>'Assumptions Processing'!M9*(1-$C$8)</f>
        <v>0</v>
      </c>
      <c r="N74" s="143">
        <f>'Assumptions Processing'!N9*(1-$C$8)</f>
        <v>0</v>
      </c>
      <c r="O74" s="143">
        <f>'Assumptions Processing'!O9*(1-$C$8)</f>
        <v>0</v>
      </c>
      <c r="P74" s="143">
        <f>'Assumptions Processing'!P9*(1-$C$8)</f>
        <v>0</v>
      </c>
      <c r="Q74" s="143">
        <f>'Assumptions Processing'!Q9*(1-$C$8)</f>
        <v>0</v>
      </c>
      <c r="R74" s="143">
        <f>'Assumptions Processing'!R9*(1-$C$8)</f>
        <v>0</v>
      </c>
      <c r="S74" s="143">
        <f>'Assumptions Processing'!S9*(1-$C$8)</f>
        <v>0</v>
      </c>
      <c r="T74" s="143">
        <f>'Assumptions Processing'!T9*(1-$C$8)</f>
        <v>0</v>
      </c>
      <c r="U74" s="143">
        <f>'Assumptions Processing'!U9*(1-$C$8)</f>
        <v>0</v>
      </c>
      <c r="V74" s="143">
        <f>'Assumptions Processing'!V9*(1-$C$8)</f>
        <v>0</v>
      </c>
      <c r="W74" s="143">
        <f>'Assumptions Processing'!W9*(1-$C$8)</f>
        <v>0</v>
      </c>
      <c r="X74" s="143">
        <f>'Assumptions Processing'!X9*(1-$C$8)</f>
        <v>0</v>
      </c>
      <c r="Y74" s="143"/>
      <c r="Z74" s="143"/>
      <c r="AA74" s="143" t="s">
        <v>144</v>
      </c>
    </row>
    <row r="75" spans="2:38" outlineLevel="1">
      <c r="B75" s="191"/>
      <c r="C75" s="37"/>
      <c r="D75" s="37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</row>
    <row r="76" spans="2:38" outlineLevel="1">
      <c r="B76" s="191"/>
      <c r="C76" s="37"/>
      <c r="D76" s="37"/>
      <c r="E76" s="225" t="s">
        <v>145</v>
      </c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</row>
    <row r="77" spans="2:38" outlineLevel="1">
      <c r="C77" s="37"/>
      <c r="D77" s="37"/>
      <c r="E77" s="229">
        <f>IF(E$4&lt;$Z77,"",IF(SUM($D77:D77)&lt;$AA77,IF('Control Panel'!$C$78=0,0,$AA77/'Control Panel'!$C$78),0))</f>
        <v>3312500</v>
      </c>
      <c r="F77" s="230">
        <f>IF(F$4&lt;$Z77,"",IF(SUM($D77:E77)&lt;$AA77,IF('Control Panel'!$C$78=0,0,$AA77/'Control Panel'!$C$78),0))</f>
        <v>3312500</v>
      </c>
      <c r="G77" s="230">
        <f>IF(G$4&lt;$Z77,"",IF(SUM($D77:F77)&lt;$AA77,IF('Control Panel'!$C$78=0,0,$AA77/'Control Panel'!$C$78),0))</f>
        <v>3312500</v>
      </c>
      <c r="H77" s="230">
        <f>IF(H$4&lt;$Z77,"",IF(SUM($D77:G77)&lt;$AA77,IF('Control Panel'!$C$78=0,0,$AA77/'Control Panel'!$C$78),0))</f>
        <v>3312500</v>
      </c>
      <c r="I77" s="230">
        <f>IF(I$4&lt;$Z77,"",IF(SUM($D77:H77)&lt;$AA77,IF('Control Panel'!$C$78=0,0,$AA77/'Control Panel'!$C$78),0))</f>
        <v>3312500</v>
      </c>
      <c r="J77" s="230">
        <f>IF(J$4&lt;$Z77,"",IF(SUM($D77:I77)&lt;$AA77,IF('Control Panel'!$C$78=0,0,$AA77/'Control Panel'!$C$78),0))</f>
        <v>3312500</v>
      </c>
      <c r="K77" s="230">
        <f>IF(K$4&lt;$Z77,"",IF(SUM($D77:J77)&lt;$AA77,IF('Control Panel'!$C$78=0,0,$AA77/'Control Panel'!$C$78),0))</f>
        <v>0</v>
      </c>
      <c r="L77" s="230">
        <f>IF(L$4&lt;$Z77,"",IF(SUM($D77:K77)&lt;$AA77,IF('Control Panel'!$C$78=0,0,$AA77/'Control Panel'!$C$78),0))</f>
        <v>0</v>
      </c>
      <c r="M77" s="230">
        <f>IF(M$4&lt;$Z77,"",IF(SUM($D77:L77)&lt;$AA77,IF('Control Panel'!$C$78=0,0,$AA77/'Control Panel'!$C$78),0))</f>
        <v>0</v>
      </c>
      <c r="N77" s="230">
        <f>IF(N$4&lt;$Z77,"",IF(SUM($D77:M77)&lt;$AA77,IF('Control Panel'!$C$78=0,0,$AA77/'Control Panel'!$C$78),0))</f>
        <v>0</v>
      </c>
      <c r="O77" s="230">
        <f>IF(O$4&lt;$Z77,"",IF(SUM($D77:N77)&lt;$AA77,IF('Control Panel'!$C$78=0,0,$AA77/'Control Panel'!$C$78),0))</f>
        <v>0</v>
      </c>
      <c r="P77" s="230">
        <f>IF(P$4&lt;$Z77,"",IF(SUM($D77:O77)&lt;$AA77,IF('Control Panel'!$C$78=0,0,$AA77/'Control Panel'!$C$78),0))</f>
        <v>0</v>
      </c>
      <c r="Q77" s="230">
        <f>IF(Q$4&lt;$Z77,"",IF(SUM($D77:P77)&lt;$AA77,IF('Control Panel'!$C$78=0,0,$AA77/'Control Panel'!$C$78),0))</f>
        <v>0</v>
      </c>
      <c r="R77" s="230">
        <f>IF(R$4&lt;$Z77,"",IF(SUM($D77:Q77)&lt;$AA77,IF('Control Panel'!$C$78=0,0,$AA77/'Control Panel'!$C$78),0))</f>
        <v>0</v>
      </c>
      <c r="S77" s="230">
        <f>IF(S$4&lt;$Z77,"",IF(SUM($D77:R77)&lt;$AA77,IF('Control Panel'!$C$78=0,0,$AA77/'Control Panel'!$C$78),0))</f>
        <v>0</v>
      </c>
      <c r="T77" s="230">
        <f>IF(T$4&lt;$Z77,"",IF(SUM($D77:S77)&lt;$AA77,IF('Control Panel'!$C$78=0,0,$AA77/'Control Panel'!$C$78),0))</f>
        <v>0</v>
      </c>
      <c r="U77" s="230">
        <f>IF(U$4&lt;$Z77,"",IF(SUM($D77:T77)&lt;$AA77,IF('Control Panel'!$C$78=0,0,$AA77/'Control Panel'!$C$78),0))</f>
        <v>0</v>
      </c>
      <c r="V77" s="230">
        <f>IF(V$4&lt;$Z77,"",IF(SUM($D77:U77)&lt;$AA77,IF('Control Panel'!$C$78=0,0,$AA77/'Control Panel'!$C$78),0))</f>
        <v>0</v>
      </c>
      <c r="W77" s="230">
        <f>IF(W$4&lt;$Z77,"",IF(SUM($D77:V77)&lt;$AA77,IF('Control Panel'!$C$78=0,0,$AA77/'Control Panel'!$C$78),0))</f>
        <v>0</v>
      </c>
      <c r="X77" s="231">
        <f>IF(X$4&lt;$Z77,"",IF(SUM($D77:W77)&lt;$AA77,IF('Control Panel'!$C$78=0,0,$AA77/'Control Panel'!$C$78),0))</f>
        <v>0</v>
      </c>
      <c r="Y77" s="143"/>
      <c r="Z77" s="232">
        <v>1</v>
      </c>
      <c r="AA77" s="143">
        <f t="array" ref="AA77:AA96">TRANSPOSE(E74:X74)</f>
        <v>19875000</v>
      </c>
    </row>
    <row r="78" spans="2:38" outlineLevel="1">
      <c r="C78" s="37"/>
      <c r="D78" s="37"/>
      <c r="E78" s="233" t="str">
        <f>IF(E$4&lt;$Z78,"",IF(SUM($D78:D78)&lt;$AA78,IF('Control Panel'!$C$78=0,0,$AA78/'Control Panel'!$C$78),0))</f>
        <v/>
      </c>
      <c r="F78" s="234">
        <f>IF(F$4&lt;$Z78,"",IF(SUM($D78:E78)&lt;$AA78,IF('Control Panel'!$C$78=0,0,$AA78/'Control Panel'!$C$78),0))</f>
        <v>3312500</v>
      </c>
      <c r="G78" s="234">
        <f>IF(G$4&lt;$Z78,"",IF(SUM($D78:F78)&lt;$AA78,IF('Control Panel'!$C$78=0,0,$AA78/'Control Panel'!$C$78),0))</f>
        <v>3312500</v>
      </c>
      <c r="H78" s="234">
        <f>IF(H$4&lt;$Z78,"",IF(SUM($D78:G78)&lt;$AA78,IF('Control Panel'!$C$78=0,0,$AA78/'Control Panel'!$C$78),0))</f>
        <v>3312500</v>
      </c>
      <c r="I78" s="234">
        <f>IF(I$4&lt;$Z78,"",IF(SUM($D78:H78)&lt;$AA78,IF('Control Panel'!$C$78=0,0,$AA78/'Control Panel'!$C$78),0))</f>
        <v>3312500</v>
      </c>
      <c r="J78" s="234">
        <f>IF(J$4&lt;$Z78,"",IF(SUM($D78:I78)&lt;$AA78,IF('Control Panel'!$C$78=0,0,$AA78/'Control Panel'!$C$78),0))</f>
        <v>3312500</v>
      </c>
      <c r="K78" s="234">
        <f>IF(K$4&lt;$Z78,"",IF(SUM($D78:J78)&lt;$AA78,IF('Control Panel'!$C$78=0,0,$AA78/'Control Panel'!$C$78),0))</f>
        <v>3312500</v>
      </c>
      <c r="L78" s="234">
        <f>IF(L$4&lt;$Z78,"",IF(SUM($D78:K78)&lt;$AA78,IF('Control Panel'!$C$78=0,0,$AA78/'Control Panel'!$C$78),0))</f>
        <v>0</v>
      </c>
      <c r="M78" s="234">
        <f>IF(M$4&lt;$Z78,"",IF(SUM($D78:L78)&lt;$AA78,IF('Control Panel'!$C$78=0,0,$AA78/'Control Panel'!$C$78),0))</f>
        <v>0</v>
      </c>
      <c r="N78" s="234">
        <f>IF(N$4&lt;$Z78,"",IF(SUM($D78:M78)&lt;$AA78,IF('Control Panel'!$C$78=0,0,$AA78/'Control Panel'!$C$78),0))</f>
        <v>0</v>
      </c>
      <c r="O78" s="234">
        <f>IF(O$4&lt;$Z78,"",IF(SUM($D78:N78)&lt;$AA78,IF('Control Panel'!$C$78=0,0,$AA78/'Control Panel'!$C$78),0))</f>
        <v>0</v>
      </c>
      <c r="P78" s="234">
        <f>IF(P$4&lt;$Z78,"",IF(SUM($D78:O78)&lt;$AA78,IF('Control Panel'!$C$78=0,0,$AA78/'Control Panel'!$C$78),0))</f>
        <v>0</v>
      </c>
      <c r="Q78" s="234">
        <f>IF(Q$4&lt;$Z78,"",IF(SUM($D78:P78)&lt;$AA78,IF('Control Panel'!$C$78=0,0,$AA78/'Control Panel'!$C$78),0))</f>
        <v>0</v>
      </c>
      <c r="R78" s="234">
        <f>IF(R$4&lt;$Z78,"",IF(SUM($D78:Q78)&lt;$AA78,IF('Control Panel'!$C$78=0,0,$AA78/'Control Panel'!$C$78),0))</f>
        <v>0</v>
      </c>
      <c r="S78" s="234">
        <f>IF(S$4&lt;$Z78,"",IF(SUM($D78:R78)&lt;$AA78,IF('Control Panel'!$C$78=0,0,$AA78/'Control Panel'!$C$78),0))</f>
        <v>0</v>
      </c>
      <c r="T78" s="234">
        <f>IF(T$4&lt;$Z78,"",IF(SUM($D78:S78)&lt;$AA78,IF('Control Panel'!$C$78=0,0,$AA78/'Control Panel'!$C$78),0))</f>
        <v>0</v>
      </c>
      <c r="U78" s="234">
        <f>IF(U$4&lt;$Z78,"",IF(SUM($D78:T78)&lt;$AA78,IF('Control Panel'!$C$78=0,0,$AA78/'Control Panel'!$C$78),0))</f>
        <v>0</v>
      </c>
      <c r="V78" s="234">
        <f>IF(V$4&lt;$Z78,"",IF(SUM($D78:U78)&lt;$AA78,IF('Control Panel'!$C$78=0,0,$AA78/'Control Panel'!$C$78),0))</f>
        <v>0</v>
      </c>
      <c r="W78" s="234">
        <f>IF(W$4&lt;$Z78,"",IF(SUM($D78:V78)&lt;$AA78,IF('Control Panel'!$C$78=0,0,$AA78/'Control Panel'!$C$78),0))</f>
        <v>0</v>
      </c>
      <c r="X78" s="235">
        <f>IF(X$4&lt;$Z78,"",IF(SUM($D78:W78)&lt;$AA78,IF('Control Panel'!$C$78=0,0,$AA78/'Control Panel'!$C$78),0))</f>
        <v>0</v>
      </c>
      <c r="Y78" s="143"/>
      <c r="Z78" s="232">
        <f>Z77+1</f>
        <v>2</v>
      </c>
      <c r="AA78" s="143">
        <v>19875000</v>
      </c>
    </row>
    <row r="79" spans="2:38" outlineLevel="1">
      <c r="C79" s="37"/>
      <c r="D79" s="37"/>
      <c r="E79" s="233" t="str">
        <f>IF(E$4&lt;$Z79,"",IF(SUM($D79:D79)&lt;$AA79,IF('Control Panel'!$C$78=0,0,$AA79/'Control Panel'!$C$78),0))</f>
        <v/>
      </c>
      <c r="F79" s="234" t="str">
        <f>IF(F$4&lt;$Z79,"",IF(SUM($D79:E79)&lt;$AA79,IF('Control Panel'!$C$78=0,0,$AA79/'Control Panel'!$C$78),0))</f>
        <v/>
      </c>
      <c r="G79" s="234">
        <f>IF(G$4&lt;$Z79,"",IF(SUM($D79:F79)&lt;$AA79,IF('Control Panel'!$C$78=0,0,$AA79/'Control Panel'!$C$78),0))</f>
        <v>6625000</v>
      </c>
      <c r="H79" s="234">
        <f>IF(H$4&lt;$Z79,"",IF(SUM($D79:G79)&lt;$AA79,IF('Control Panel'!$C$78=0,0,$AA79/'Control Panel'!$C$78),0))</f>
        <v>6625000</v>
      </c>
      <c r="I79" s="234">
        <f>IF(I$4&lt;$Z79,"",IF(SUM($D79:H79)&lt;$AA79,IF('Control Panel'!$C$78=0,0,$AA79/'Control Panel'!$C$78),0))</f>
        <v>6625000</v>
      </c>
      <c r="J79" s="234">
        <f>IF(J$4&lt;$Z79,"",IF(SUM($D79:I79)&lt;$AA79,IF('Control Panel'!$C$78=0,0,$AA79/'Control Panel'!$C$78),0))</f>
        <v>6625000</v>
      </c>
      <c r="K79" s="234">
        <f>IF(K$4&lt;$Z79,"",IF(SUM($D79:J79)&lt;$AA79,IF('Control Panel'!$C$78=0,0,$AA79/'Control Panel'!$C$78),0))</f>
        <v>6625000</v>
      </c>
      <c r="L79" s="234">
        <f>IF(L$4&lt;$Z79,"",IF(SUM($D79:K79)&lt;$AA79,IF('Control Panel'!$C$78=0,0,$AA79/'Control Panel'!$C$78),0))</f>
        <v>6625000</v>
      </c>
      <c r="M79" s="234">
        <f>IF(M$4&lt;$Z79,"",IF(SUM($D79:L79)&lt;$AA79,IF('Control Panel'!$C$78=0,0,$AA79/'Control Panel'!$C$78),0))</f>
        <v>0</v>
      </c>
      <c r="N79" s="234">
        <f>IF(N$4&lt;$Z79,"",IF(SUM($D79:M79)&lt;$AA79,IF('Control Panel'!$C$78=0,0,$AA79/'Control Panel'!$C$78),0))</f>
        <v>0</v>
      </c>
      <c r="O79" s="234">
        <f>IF(O$4&lt;$Z79,"",IF(SUM($D79:N79)&lt;$AA79,IF('Control Panel'!$C$78=0,0,$AA79/'Control Panel'!$C$78),0))</f>
        <v>0</v>
      </c>
      <c r="P79" s="234">
        <f>IF(P$4&lt;$Z79,"",IF(SUM($D79:O79)&lt;$AA79,IF('Control Panel'!$C$78=0,0,$AA79/'Control Panel'!$C$78),0))</f>
        <v>0</v>
      </c>
      <c r="Q79" s="234">
        <f>IF(Q$4&lt;$Z79,"",IF(SUM($D79:P79)&lt;$AA79,IF('Control Panel'!$C$78=0,0,$AA79/'Control Panel'!$C$78),0))</f>
        <v>0</v>
      </c>
      <c r="R79" s="234">
        <f>IF(R$4&lt;$Z79,"",IF(SUM($D79:Q79)&lt;$AA79,IF('Control Panel'!$C$78=0,0,$AA79/'Control Panel'!$C$78),0))</f>
        <v>0</v>
      </c>
      <c r="S79" s="234">
        <f>IF(S$4&lt;$Z79,"",IF(SUM($D79:R79)&lt;$AA79,IF('Control Panel'!$C$78=0,0,$AA79/'Control Panel'!$C$78),0))</f>
        <v>0</v>
      </c>
      <c r="T79" s="234">
        <f>IF(T$4&lt;$Z79,"",IF(SUM($D79:S79)&lt;$AA79,IF('Control Panel'!$C$78=0,0,$AA79/'Control Panel'!$C$78),0))</f>
        <v>0</v>
      </c>
      <c r="U79" s="234">
        <f>IF(U$4&lt;$Z79,"",IF(SUM($D79:T79)&lt;$AA79,IF('Control Panel'!$C$78=0,0,$AA79/'Control Panel'!$C$78),0))</f>
        <v>0</v>
      </c>
      <c r="V79" s="234">
        <f>IF(V$4&lt;$Z79,"",IF(SUM($D79:U79)&lt;$AA79,IF('Control Panel'!$C$78=0,0,$AA79/'Control Panel'!$C$78),0))</f>
        <v>0</v>
      </c>
      <c r="W79" s="234">
        <f>IF(W$4&lt;$Z79,"",IF(SUM($D79:V79)&lt;$AA79,IF('Control Panel'!$C$78=0,0,$AA79/'Control Panel'!$C$78),0))</f>
        <v>0</v>
      </c>
      <c r="X79" s="235">
        <f>IF(X$4&lt;$Z79,"",IF(SUM($D79:W79)&lt;$AA79,IF('Control Panel'!$C$78=0,0,$AA79/'Control Panel'!$C$78),0))</f>
        <v>0</v>
      </c>
      <c r="Y79" s="143"/>
      <c r="Z79" s="232">
        <f t="shared" ref="Z79:Z96" si="29">Z78+1</f>
        <v>3</v>
      </c>
      <c r="AA79" s="143">
        <v>39750000</v>
      </c>
    </row>
    <row r="80" spans="2:38" outlineLevel="1">
      <c r="C80" s="37"/>
      <c r="D80" s="37"/>
      <c r="E80" s="233" t="str">
        <f>IF(E$4&lt;$Z80,"",IF(SUM($D80:D80)&lt;$AA80,IF('Control Panel'!$C$78=0,0,$AA80/'Control Panel'!$C$78),0))</f>
        <v/>
      </c>
      <c r="F80" s="234" t="str">
        <f>IF(F$4&lt;$Z80,"",IF(SUM($D80:E80)&lt;$AA80,IF('Control Panel'!$C$78=0,0,$AA80/'Control Panel'!$C$78),0))</f>
        <v/>
      </c>
      <c r="G80" s="234" t="str">
        <f>IF(G$4&lt;$Z80,"",IF(SUM($D80:F80)&lt;$AA80,IF('Control Panel'!$C$78=0,0,$AA80/'Control Panel'!$C$78),0))</f>
        <v/>
      </c>
      <c r="H80" s="234">
        <f>IF(H$4&lt;$Z80,"",IF(SUM($D80:G80)&lt;$AA80,IF('Control Panel'!$C$78=0,0,$AA80/'Control Panel'!$C$78),0))</f>
        <v>0</v>
      </c>
      <c r="I80" s="234">
        <f>IF(I$4&lt;$Z80,"",IF(SUM($D80:H80)&lt;$AA80,IF('Control Panel'!$C$78=0,0,$AA80/'Control Panel'!$C$78),0))</f>
        <v>0</v>
      </c>
      <c r="J80" s="234">
        <f>IF(J$4&lt;$Z80,"",IF(SUM($D80:I80)&lt;$AA80,IF('Control Panel'!$C$78=0,0,$AA80/'Control Panel'!$C$78),0))</f>
        <v>0</v>
      </c>
      <c r="K80" s="234">
        <f>IF(K$4&lt;$Z80,"",IF(SUM($D80:J80)&lt;$AA80,IF('Control Panel'!$C$78=0,0,$AA80/'Control Panel'!$C$78),0))</f>
        <v>0</v>
      </c>
      <c r="L80" s="234">
        <f>IF(L$4&lt;$Z80,"",IF(SUM($D80:K80)&lt;$AA80,IF('Control Panel'!$C$78=0,0,$AA80/'Control Panel'!$C$78),0))</f>
        <v>0</v>
      </c>
      <c r="M80" s="234">
        <f>IF(M$4&lt;$Z80,"",IF(SUM($D80:L80)&lt;$AA80,IF('Control Panel'!$C$78=0,0,$AA80/'Control Panel'!$C$78),0))</f>
        <v>0</v>
      </c>
      <c r="N80" s="234">
        <f>IF(N$4&lt;$Z80,"",IF(SUM($D80:M80)&lt;$AA80,IF('Control Panel'!$C$78=0,0,$AA80/'Control Panel'!$C$78),0))</f>
        <v>0</v>
      </c>
      <c r="O80" s="234">
        <f>IF(O$4&lt;$Z80,"",IF(SUM($D80:N80)&lt;$AA80,IF('Control Panel'!$C$78=0,0,$AA80/'Control Panel'!$C$78),0))</f>
        <v>0</v>
      </c>
      <c r="P80" s="234">
        <f>IF(P$4&lt;$Z80,"",IF(SUM($D80:O80)&lt;$AA80,IF('Control Panel'!$C$78=0,0,$AA80/'Control Panel'!$C$78),0))</f>
        <v>0</v>
      </c>
      <c r="Q80" s="234">
        <f>IF(Q$4&lt;$Z80,"",IF(SUM($D80:P80)&lt;$AA80,IF('Control Panel'!$C$78=0,0,$AA80/'Control Panel'!$C$78),0))</f>
        <v>0</v>
      </c>
      <c r="R80" s="234">
        <f>IF(R$4&lt;$Z80,"",IF(SUM($D80:Q80)&lt;$AA80,IF('Control Panel'!$C$78=0,0,$AA80/'Control Panel'!$C$78),0))</f>
        <v>0</v>
      </c>
      <c r="S80" s="234">
        <f>IF(S$4&lt;$Z80,"",IF(SUM($D80:R80)&lt;$AA80,IF('Control Panel'!$C$78=0,0,$AA80/'Control Panel'!$C$78),0))</f>
        <v>0</v>
      </c>
      <c r="T80" s="234">
        <f>IF(T$4&lt;$Z80,"",IF(SUM($D80:S80)&lt;$AA80,IF('Control Panel'!$C$78=0,0,$AA80/'Control Panel'!$C$78),0))</f>
        <v>0</v>
      </c>
      <c r="U80" s="234">
        <f>IF(U$4&lt;$Z80,"",IF(SUM($D80:T80)&lt;$AA80,IF('Control Panel'!$C$78=0,0,$AA80/'Control Panel'!$C$78),0))</f>
        <v>0</v>
      </c>
      <c r="V80" s="234">
        <f>IF(V$4&lt;$Z80,"",IF(SUM($D80:U80)&lt;$AA80,IF('Control Panel'!$C$78=0,0,$AA80/'Control Panel'!$C$78),0))</f>
        <v>0</v>
      </c>
      <c r="W80" s="234">
        <f>IF(W$4&lt;$Z80,"",IF(SUM($D80:V80)&lt;$AA80,IF('Control Panel'!$C$78=0,0,$AA80/'Control Panel'!$C$78),0))</f>
        <v>0</v>
      </c>
      <c r="X80" s="235">
        <f>IF(X$4&lt;$Z80,"",IF(SUM($D80:W80)&lt;$AA80,IF('Control Panel'!$C$78=0,0,$AA80/'Control Panel'!$C$78),0))</f>
        <v>0</v>
      </c>
      <c r="Y80" s="143"/>
      <c r="Z80" s="232">
        <f t="shared" si="29"/>
        <v>4</v>
      </c>
      <c r="AA80" s="143">
        <v>0</v>
      </c>
    </row>
    <row r="81" spans="3:27" outlineLevel="1">
      <c r="C81" s="37"/>
      <c r="D81" s="37"/>
      <c r="E81" s="233" t="str">
        <f>IF(E$4&lt;$Z81,"",IF(SUM($D81:D81)&lt;$AA81,IF('Control Panel'!$C$78=0,0,$AA81/'Control Panel'!$C$78),0))</f>
        <v/>
      </c>
      <c r="F81" s="234" t="str">
        <f>IF(F$4&lt;$Z81,"",IF(SUM($D81:E81)&lt;$AA81,IF('Control Panel'!$C$78=0,0,$AA81/'Control Panel'!$C$78),0))</f>
        <v/>
      </c>
      <c r="G81" s="234" t="str">
        <f>IF(G$4&lt;$Z81,"",IF(SUM($D81:F81)&lt;$AA81,IF('Control Panel'!$C$78=0,0,$AA81/'Control Panel'!$C$78),0))</f>
        <v/>
      </c>
      <c r="H81" s="234" t="str">
        <f>IF(H$4&lt;$Z81,"",IF(SUM($D81:G81)&lt;$AA81,IF('Control Panel'!$C$78=0,0,$AA81/'Control Panel'!$C$78),0))</f>
        <v/>
      </c>
      <c r="I81" s="234">
        <f>IF(I$4&lt;$Z81,"",IF(SUM($D81:H81)&lt;$AA81,IF('Control Panel'!$C$78=0,0,$AA81/'Control Panel'!$C$78),0))</f>
        <v>0</v>
      </c>
      <c r="J81" s="234">
        <f>IF(J$4&lt;$Z81,"",IF(SUM($D81:I81)&lt;$AA81,IF('Control Panel'!$C$78=0,0,$AA81/'Control Panel'!$C$78),0))</f>
        <v>0</v>
      </c>
      <c r="K81" s="234">
        <f>IF(K$4&lt;$Z81,"",IF(SUM($D81:J81)&lt;$AA81,IF('Control Panel'!$C$78=0,0,$AA81/'Control Panel'!$C$78),0))</f>
        <v>0</v>
      </c>
      <c r="L81" s="234">
        <f>IF(L$4&lt;$Z81,"",IF(SUM($D81:K81)&lt;$AA81,IF('Control Panel'!$C$78=0,0,$AA81/'Control Panel'!$C$78),0))</f>
        <v>0</v>
      </c>
      <c r="M81" s="234">
        <f>IF(M$4&lt;$Z81,"",IF(SUM($D81:L81)&lt;$AA81,IF('Control Panel'!$C$78=0,0,$AA81/'Control Panel'!$C$78),0))</f>
        <v>0</v>
      </c>
      <c r="N81" s="234">
        <f>IF(N$4&lt;$Z81,"",IF(SUM($D81:M81)&lt;$AA81,IF('Control Panel'!$C$78=0,0,$AA81/'Control Panel'!$C$78),0))</f>
        <v>0</v>
      </c>
      <c r="O81" s="234">
        <f>IF(O$4&lt;$Z81,"",IF(SUM($D81:N81)&lt;$AA81,IF('Control Panel'!$C$78=0,0,$AA81/'Control Panel'!$C$78),0))</f>
        <v>0</v>
      </c>
      <c r="P81" s="234">
        <f>IF(P$4&lt;$Z81,"",IF(SUM($D81:O81)&lt;$AA81,IF('Control Panel'!$C$78=0,0,$AA81/'Control Panel'!$C$78),0))</f>
        <v>0</v>
      </c>
      <c r="Q81" s="234">
        <f>IF(Q$4&lt;$Z81,"",IF(SUM($D81:P81)&lt;$AA81,IF('Control Panel'!$C$78=0,0,$AA81/'Control Panel'!$C$78),0))</f>
        <v>0</v>
      </c>
      <c r="R81" s="234">
        <f>IF(R$4&lt;$Z81,"",IF(SUM($D81:Q81)&lt;$AA81,IF('Control Panel'!$C$78=0,0,$AA81/'Control Panel'!$C$78),0))</f>
        <v>0</v>
      </c>
      <c r="S81" s="234">
        <f>IF(S$4&lt;$Z81,"",IF(SUM($D81:R81)&lt;$AA81,IF('Control Panel'!$C$78=0,0,$AA81/'Control Panel'!$C$78),0))</f>
        <v>0</v>
      </c>
      <c r="T81" s="234">
        <f>IF(T$4&lt;$Z81,"",IF(SUM($D81:S81)&lt;$AA81,IF('Control Panel'!$C$78=0,0,$AA81/'Control Panel'!$C$78),0))</f>
        <v>0</v>
      </c>
      <c r="U81" s="234">
        <f>IF(U$4&lt;$Z81,"",IF(SUM($D81:T81)&lt;$AA81,IF('Control Panel'!$C$78=0,0,$AA81/'Control Panel'!$C$78),0))</f>
        <v>0</v>
      </c>
      <c r="V81" s="234">
        <f>IF(V$4&lt;$Z81,"",IF(SUM($D81:U81)&lt;$AA81,IF('Control Panel'!$C$78=0,0,$AA81/'Control Panel'!$C$78),0))</f>
        <v>0</v>
      </c>
      <c r="W81" s="234">
        <f>IF(W$4&lt;$Z81,"",IF(SUM($D81:V81)&lt;$AA81,IF('Control Panel'!$C$78=0,0,$AA81/'Control Panel'!$C$78),0))</f>
        <v>0</v>
      </c>
      <c r="X81" s="235">
        <f>IF(X$4&lt;$Z81,"",IF(SUM($D81:W81)&lt;$AA81,IF('Control Panel'!$C$78=0,0,$AA81/'Control Panel'!$C$78),0))</f>
        <v>0</v>
      </c>
      <c r="Y81" s="143"/>
      <c r="Z81" s="232">
        <f t="shared" si="29"/>
        <v>5</v>
      </c>
      <c r="AA81" s="143">
        <v>0</v>
      </c>
    </row>
    <row r="82" spans="3:27" outlineLevel="1">
      <c r="C82" s="37"/>
      <c r="D82" s="37"/>
      <c r="E82" s="233" t="str">
        <f>IF(E$4&lt;$Z82,"",IF(SUM($D82:D82)&lt;$AA82,IF('Control Panel'!$C$78=0,0,$AA82/'Control Panel'!$C$78),0))</f>
        <v/>
      </c>
      <c r="F82" s="234" t="str">
        <f>IF(F$4&lt;$Z82,"",IF(SUM($D82:E82)&lt;$AA82,IF('Control Panel'!$C$78=0,0,$AA82/'Control Panel'!$C$78),0))</f>
        <v/>
      </c>
      <c r="G82" s="234" t="str">
        <f>IF(G$4&lt;$Z82,"",IF(SUM($D82:F82)&lt;$AA82,IF('Control Panel'!$C$78=0,0,$AA82/'Control Panel'!$C$78),0))</f>
        <v/>
      </c>
      <c r="H82" s="234" t="str">
        <f>IF(H$4&lt;$Z82,"",IF(SUM($D82:G82)&lt;$AA82,IF('Control Panel'!$C$78=0,0,$AA82/'Control Panel'!$C$78),0))</f>
        <v/>
      </c>
      <c r="I82" s="234" t="str">
        <f>IF(I$4&lt;$Z82,"",IF(SUM($D82:H82)&lt;$AA82,IF('Control Panel'!$C$78=0,0,$AA82/'Control Panel'!$C$78),0))</f>
        <v/>
      </c>
      <c r="J82" s="234">
        <f>IF(J$4&lt;$Z82,"",IF(SUM($D82:I82)&lt;$AA82,IF('Control Panel'!$C$78=0,0,$AA82/'Control Panel'!$C$78),0))</f>
        <v>0</v>
      </c>
      <c r="K82" s="234">
        <f>IF(K$4&lt;$Z82,"",IF(SUM($D82:J82)&lt;$AA82,IF('Control Panel'!$C$78=0,0,$AA82/'Control Panel'!$C$78),0))</f>
        <v>0</v>
      </c>
      <c r="L82" s="234">
        <f>IF(L$4&lt;$Z82,"",IF(SUM($D82:K82)&lt;$AA82,IF('Control Panel'!$C$78=0,0,$AA82/'Control Panel'!$C$78),0))</f>
        <v>0</v>
      </c>
      <c r="M82" s="234">
        <f>IF(M$4&lt;$Z82,"",IF(SUM($D82:L82)&lt;$AA82,IF('Control Panel'!$C$78=0,0,$AA82/'Control Panel'!$C$78),0))</f>
        <v>0</v>
      </c>
      <c r="N82" s="234">
        <f>IF(N$4&lt;$Z82,"",IF(SUM($D82:M82)&lt;$AA82,IF('Control Panel'!$C$78=0,0,$AA82/'Control Panel'!$C$78),0))</f>
        <v>0</v>
      </c>
      <c r="O82" s="234">
        <f>IF(O$4&lt;$Z82,"",IF(SUM($D82:N82)&lt;$AA82,IF('Control Panel'!$C$78=0,0,$AA82/'Control Panel'!$C$78),0))</f>
        <v>0</v>
      </c>
      <c r="P82" s="234">
        <f>IF(P$4&lt;$Z82,"",IF(SUM($D82:O82)&lt;$AA82,IF('Control Panel'!$C$78=0,0,$AA82/'Control Panel'!$C$78),0))</f>
        <v>0</v>
      </c>
      <c r="Q82" s="234">
        <f>IF(Q$4&lt;$Z82,"",IF(SUM($D82:P82)&lt;$AA82,IF('Control Panel'!$C$78=0,0,$AA82/'Control Panel'!$C$78),0))</f>
        <v>0</v>
      </c>
      <c r="R82" s="234">
        <f>IF(R$4&lt;$Z82,"",IF(SUM($D82:Q82)&lt;$AA82,IF('Control Panel'!$C$78=0,0,$AA82/'Control Panel'!$C$78),0))</f>
        <v>0</v>
      </c>
      <c r="S82" s="234">
        <f>IF(S$4&lt;$Z82,"",IF(SUM($D82:R82)&lt;$AA82,IF('Control Panel'!$C$78=0,0,$AA82/'Control Panel'!$C$78),0))</f>
        <v>0</v>
      </c>
      <c r="T82" s="234">
        <f>IF(T$4&lt;$Z82,"",IF(SUM($D82:S82)&lt;$AA82,IF('Control Panel'!$C$78=0,0,$AA82/'Control Panel'!$C$78),0))</f>
        <v>0</v>
      </c>
      <c r="U82" s="234">
        <f>IF(U$4&lt;$Z82,"",IF(SUM($D82:T82)&lt;$AA82,IF('Control Panel'!$C$78=0,0,$AA82/'Control Panel'!$C$78),0))</f>
        <v>0</v>
      </c>
      <c r="V82" s="234">
        <f>IF(V$4&lt;$Z82,"",IF(SUM($D82:U82)&lt;$AA82,IF('Control Panel'!$C$78=0,0,$AA82/'Control Panel'!$C$78),0))</f>
        <v>0</v>
      </c>
      <c r="W82" s="234">
        <f>IF(W$4&lt;$Z82,"",IF(SUM($D82:V82)&lt;$AA82,IF('Control Panel'!$C$78=0,0,$AA82/'Control Panel'!$C$78),0))</f>
        <v>0</v>
      </c>
      <c r="X82" s="235">
        <f>IF(X$4&lt;$Z82,"",IF(SUM($D82:W82)&lt;$AA82,IF('Control Panel'!$C$78=0,0,$AA82/'Control Panel'!$C$78),0))</f>
        <v>0</v>
      </c>
      <c r="Y82" s="143"/>
      <c r="Z82" s="232">
        <f t="shared" si="29"/>
        <v>6</v>
      </c>
      <c r="AA82" s="143">
        <v>0</v>
      </c>
    </row>
    <row r="83" spans="3:27" outlineLevel="1">
      <c r="C83" s="37"/>
      <c r="D83" s="37"/>
      <c r="E83" s="233" t="str">
        <f>IF(E$4&lt;$Z83,"",IF(SUM($D83:D83)&lt;$AA83,IF('Control Panel'!$C$78=0,0,$AA83/'Control Panel'!$C$78),0))</f>
        <v/>
      </c>
      <c r="F83" s="234" t="str">
        <f>IF(F$4&lt;$Z83,"",IF(SUM($D83:E83)&lt;$AA83,IF('Control Panel'!$C$78=0,0,$AA83/'Control Panel'!$C$78),0))</f>
        <v/>
      </c>
      <c r="G83" s="234" t="str">
        <f>IF(G$4&lt;$Z83,"",IF(SUM($D83:F83)&lt;$AA83,IF('Control Panel'!$C$78=0,0,$AA83/'Control Panel'!$C$78),0))</f>
        <v/>
      </c>
      <c r="H83" s="234" t="str">
        <f>IF(H$4&lt;$Z83,"",IF(SUM($D83:G83)&lt;$AA83,IF('Control Panel'!$C$78=0,0,$AA83/'Control Panel'!$C$78),0))</f>
        <v/>
      </c>
      <c r="I83" s="234" t="str">
        <f>IF(I$4&lt;$Z83,"",IF(SUM($D83:H83)&lt;$AA83,IF('Control Panel'!$C$78=0,0,$AA83/'Control Panel'!$C$78),0))</f>
        <v/>
      </c>
      <c r="J83" s="234" t="str">
        <f>IF(J$4&lt;$Z83,"",IF(SUM($D83:I83)&lt;$AA83,IF('Control Panel'!$C$78=0,0,$AA83/'Control Panel'!$C$78),0))</f>
        <v/>
      </c>
      <c r="K83" s="234">
        <f>IF(K$4&lt;$Z83,"",IF(SUM($D83:J83)&lt;$AA83,IF('Control Panel'!$C$78=0,0,$AA83/'Control Panel'!$C$78),0))</f>
        <v>0</v>
      </c>
      <c r="L83" s="234">
        <f>IF(L$4&lt;$Z83,"",IF(SUM($D83:K83)&lt;$AA83,IF('Control Panel'!$C$78=0,0,$AA83/'Control Panel'!$C$78),0))</f>
        <v>0</v>
      </c>
      <c r="M83" s="234">
        <f>IF(M$4&lt;$Z83,"",IF(SUM($D83:L83)&lt;$AA83,IF('Control Panel'!$C$78=0,0,$AA83/'Control Panel'!$C$78),0))</f>
        <v>0</v>
      </c>
      <c r="N83" s="234">
        <f>IF(N$4&lt;$Z83,"",IF(SUM($D83:M83)&lt;$AA83,IF('Control Panel'!$C$78=0,0,$AA83/'Control Panel'!$C$78),0))</f>
        <v>0</v>
      </c>
      <c r="O83" s="234">
        <f>IF(O$4&lt;$Z83,"",IF(SUM($D83:N83)&lt;$AA83,IF('Control Panel'!$C$78=0,0,$AA83/'Control Panel'!$C$78),0))</f>
        <v>0</v>
      </c>
      <c r="P83" s="234">
        <f>IF(P$4&lt;$Z83,"",IF(SUM($D83:O83)&lt;$AA83,IF('Control Panel'!$C$78=0,0,$AA83/'Control Panel'!$C$78),0))</f>
        <v>0</v>
      </c>
      <c r="Q83" s="234">
        <f>IF(Q$4&lt;$Z83,"",IF(SUM($D83:P83)&lt;$AA83,IF('Control Panel'!$C$78=0,0,$AA83/'Control Panel'!$C$78),0))</f>
        <v>0</v>
      </c>
      <c r="R83" s="234">
        <f>IF(R$4&lt;$Z83,"",IF(SUM($D83:Q83)&lt;$AA83,IF('Control Panel'!$C$78=0,0,$AA83/'Control Panel'!$C$78),0))</f>
        <v>0</v>
      </c>
      <c r="S83" s="234">
        <f>IF(S$4&lt;$Z83,"",IF(SUM($D83:R83)&lt;$AA83,IF('Control Panel'!$C$78=0,0,$AA83/'Control Panel'!$C$78),0))</f>
        <v>0</v>
      </c>
      <c r="T83" s="234">
        <f>IF(T$4&lt;$Z83,"",IF(SUM($D83:S83)&lt;$AA83,IF('Control Panel'!$C$78=0,0,$AA83/'Control Panel'!$C$78),0))</f>
        <v>0</v>
      </c>
      <c r="U83" s="234">
        <f>IF(U$4&lt;$Z83,"",IF(SUM($D83:T83)&lt;$AA83,IF('Control Panel'!$C$78=0,0,$AA83/'Control Panel'!$C$78),0))</f>
        <v>0</v>
      </c>
      <c r="V83" s="234">
        <f>IF(V$4&lt;$Z83,"",IF(SUM($D83:U83)&lt;$AA83,IF('Control Panel'!$C$78=0,0,$AA83/'Control Panel'!$C$78),0))</f>
        <v>0</v>
      </c>
      <c r="W83" s="234">
        <f>IF(W$4&lt;$Z83,"",IF(SUM($D83:V83)&lt;$AA83,IF('Control Panel'!$C$78=0,0,$AA83/'Control Panel'!$C$78),0))</f>
        <v>0</v>
      </c>
      <c r="X83" s="235">
        <f>IF(X$4&lt;$Z83,"",IF(SUM($D83:W83)&lt;$AA83,IF('Control Panel'!$C$78=0,0,$AA83/'Control Panel'!$C$78),0))</f>
        <v>0</v>
      </c>
      <c r="Y83" s="143"/>
      <c r="Z83" s="232">
        <f t="shared" si="29"/>
        <v>7</v>
      </c>
      <c r="AA83" s="143">
        <v>0</v>
      </c>
    </row>
    <row r="84" spans="3:27" outlineLevel="1">
      <c r="C84" s="37"/>
      <c r="D84" s="37"/>
      <c r="E84" s="233" t="str">
        <f>IF(E$4&lt;$Z84,"",IF(SUM($D84:D84)&lt;$AA84,IF('Control Panel'!$C$78=0,0,$AA84/'Control Panel'!$C$78),0))</f>
        <v/>
      </c>
      <c r="F84" s="234" t="str">
        <f>IF(F$4&lt;$Z84,"",IF(SUM($D84:E84)&lt;$AA84,IF('Control Panel'!$C$78=0,0,$AA84/'Control Panel'!$C$78),0))</f>
        <v/>
      </c>
      <c r="G84" s="234" t="str">
        <f>IF(G$4&lt;$Z84,"",IF(SUM($D84:F84)&lt;$AA84,IF('Control Panel'!$C$78=0,0,$AA84/'Control Panel'!$C$78),0))</f>
        <v/>
      </c>
      <c r="H84" s="234" t="str">
        <f>IF(H$4&lt;$Z84,"",IF(SUM($D84:G84)&lt;$AA84,IF('Control Panel'!$C$78=0,0,$AA84/'Control Panel'!$C$78),0))</f>
        <v/>
      </c>
      <c r="I84" s="234" t="str">
        <f>IF(I$4&lt;$Z84,"",IF(SUM($D84:H84)&lt;$AA84,IF('Control Panel'!$C$78=0,0,$AA84/'Control Panel'!$C$78),0))</f>
        <v/>
      </c>
      <c r="J84" s="234" t="str">
        <f>IF(J$4&lt;$Z84,"",IF(SUM($D84:I84)&lt;$AA84,IF('Control Panel'!$C$78=0,0,$AA84/'Control Panel'!$C$78),0))</f>
        <v/>
      </c>
      <c r="K84" s="234" t="str">
        <f>IF(K$4&lt;$Z84,"",IF(SUM($D84:J84)&lt;$AA84,IF('Control Panel'!$C$78=0,0,$AA84/'Control Panel'!$C$78),0))</f>
        <v/>
      </c>
      <c r="L84" s="234">
        <f>IF(L$4&lt;$Z84,"",IF(SUM($D84:K84)&lt;$AA84,IF('Control Panel'!$C$78=0,0,$AA84/'Control Panel'!$C$78),0))</f>
        <v>0</v>
      </c>
      <c r="M84" s="234">
        <f>IF(M$4&lt;$Z84,"",IF(SUM($D84:L84)&lt;$AA84,IF('Control Panel'!$C$78=0,0,$AA84/'Control Panel'!$C$78),0))</f>
        <v>0</v>
      </c>
      <c r="N84" s="234">
        <f>IF(N$4&lt;$Z84,"",IF(SUM($D84:M84)&lt;$AA84,IF('Control Panel'!$C$78=0,0,$AA84/'Control Panel'!$C$78),0))</f>
        <v>0</v>
      </c>
      <c r="O84" s="234">
        <f>IF(O$4&lt;$Z84,"",IF(SUM($D84:N84)&lt;$AA84,IF('Control Panel'!$C$78=0,0,$AA84/'Control Panel'!$C$78),0))</f>
        <v>0</v>
      </c>
      <c r="P84" s="234">
        <f>IF(P$4&lt;$Z84,"",IF(SUM($D84:O84)&lt;$AA84,IF('Control Panel'!$C$78=0,0,$AA84/'Control Panel'!$C$78),0))</f>
        <v>0</v>
      </c>
      <c r="Q84" s="234">
        <f>IF(Q$4&lt;$Z84,"",IF(SUM($D84:P84)&lt;$AA84,IF('Control Panel'!$C$78=0,0,$AA84/'Control Panel'!$C$78),0))</f>
        <v>0</v>
      </c>
      <c r="R84" s="234">
        <f>IF(R$4&lt;$Z84,"",IF(SUM($D84:Q84)&lt;$AA84,IF('Control Panel'!$C$78=0,0,$AA84/'Control Panel'!$C$78),0))</f>
        <v>0</v>
      </c>
      <c r="S84" s="234">
        <f>IF(S$4&lt;$Z84,"",IF(SUM($D84:R84)&lt;$AA84,IF('Control Panel'!$C$78=0,0,$AA84/'Control Panel'!$C$78),0))</f>
        <v>0</v>
      </c>
      <c r="T84" s="234">
        <f>IF(T$4&lt;$Z84,"",IF(SUM($D84:S84)&lt;$AA84,IF('Control Panel'!$C$78=0,0,$AA84/'Control Panel'!$C$78),0))</f>
        <v>0</v>
      </c>
      <c r="U84" s="234">
        <f>IF(U$4&lt;$Z84,"",IF(SUM($D84:T84)&lt;$AA84,IF('Control Panel'!$C$78=0,0,$AA84/'Control Panel'!$C$78),0))</f>
        <v>0</v>
      </c>
      <c r="V84" s="234">
        <f>IF(V$4&lt;$Z84,"",IF(SUM($D84:U84)&lt;$AA84,IF('Control Panel'!$C$78=0,0,$AA84/'Control Panel'!$C$78),0))</f>
        <v>0</v>
      </c>
      <c r="W84" s="234">
        <f>IF(W$4&lt;$Z84,"",IF(SUM($D84:V84)&lt;$AA84,IF('Control Panel'!$C$78=0,0,$AA84/'Control Panel'!$C$78),0))</f>
        <v>0</v>
      </c>
      <c r="X84" s="235">
        <f>IF(X$4&lt;$Z84,"",IF(SUM($D84:W84)&lt;$AA84,IF('Control Panel'!$C$78=0,0,$AA84/'Control Panel'!$C$78),0))</f>
        <v>0</v>
      </c>
      <c r="Y84" s="143"/>
      <c r="Z84" s="232">
        <f t="shared" si="29"/>
        <v>8</v>
      </c>
      <c r="AA84" s="143">
        <v>0</v>
      </c>
    </row>
    <row r="85" spans="3:27" outlineLevel="1">
      <c r="C85" s="37"/>
      <c r="D85" s="37"/>
      <c r="E85" s="233" t="str">
        <f>IF(E$4&lt;$Z85,"",IF(SUM($D85:D85)&lt;$AA85,IF('Control Panel'!$C$78=0,0,$AA85/'Control Panel'!$C$78),0))</f>
        <v/>
      </c>
      <c r="F85" s="234" t="str">
        <f>IF(F$4&lt;$Z85,"",IF(SUM($D85:E85)&lt;$AA85,IF('Control Panel'!$C$78=0,0,$AA85/'Control Panel'!$C$78),0))</f>
        <v/>
      </c>
      <c r="G85" s="234" t="str">
        <f>IF(G$4&lt;$Z85,"",IF(SUM($D85:F85)&lt;$AA85,IF('Control Panel'!$C$78=0,0,$AA85/'Control Panel'!$C$78),0))</f>
        <v/>
      </c>
      <c r="H85" s="234" t="str">
        <f>IF(H$4&lt;$Z85,"",IF(SUM($D85:G85)&lt;$AA85,IF('Control Panel'!$C$78=0,0,$AA85/'Control Panel'!$C$78),0))</f>
        <v/>
      </c>
      <c r="I85" s="234" t="str">
        <f>IF(I$4&lt;$Z85,"",IF(SUM($D85:H85)&lt;$AA85,IF('Control Panel'!$C$78=0,0,$AA85/'Control Panel'!$C$78),0))</f>
        <v/>
      </c>
      <c r="J85" s="234" t="str">
        <f>IF(J$4&lt;$Z85,"",IF(SUM($D85:I85)&lt;$AA85,IF('Control Panel'!$C$78=0,0,$AA85/'Control Panel'!$C$78),0))</f>
        <v/>
      </c>
      <c r="K85" s="234" t="str">
        <f>IF(K$4&lt;$Z85,"",IF(SUM($D85:J85)&lt;$AA85,IF('Control Panel'!$C$78=0,0,$AA85/'Control Panel'!$C$78),0))</f>
        <v/>
      </c>
      <c r="L85" s="234" t="str">
        <f>IF(L$4&lt;$Z85,"",IF(SUM($D85:K85)&lt;$AA85,IF('Control Panel'!$C$78=0,0,$AA85/'Control Panel'!$C$78),0))</f>
        <v/>
      </c>
      <c r="M85" s="234">
        <f>IF(M$4&lt;$Z85,"",IF(SUM($D85:L85)&lt;$AA85,IF('Control Panel'!$C$78=0,0,$AA85/'Control Panel'!$C$78),0))</f>
        <v>0</v>
      </c>
      <c r="N85" s="234">
        <f>IF(N$4&lt;$Z85,"",IF(SUM($D85:M85)&lt;$AA85,IF('Control Panel'!$C$78=0,0,$AA85/'Control Panel'!$C$78),0))</f>
        <v>0</v>
      </c>
      <c r="O85" s="234">
        <f>IF(O$4&lt;$Z85,"",IF(SUM($D85:N85)&lt;$AA85,IF('Control Panel'!$C$78=0,0,$AA85/'Control Panel'!$C$78),0))</f>
        <v>0</v>
      </c>
      <c r="P85" s="234">
        <f>IF(P$4&lt;$Z85,"",IF(SUM($D85:O85)&lt;$AA85,IF('Control Panel'!$C$78=0,0,$AA85/'Control Panel'!$C$78),0))</f>
        <v>0</v>
      </c>
      <c r="Q85" s="234">
        <f>IF(Q$4&lt;$Z85,"",IF(SUM($D85:P85)&lt;$AA85,IF('Control Panel'!$C$78=0,0,$AA85/'Control Panel'!$C$78),0))</f>
        <v>0</v>
      </c>
      <c r="R85" s="234">
        <f>IF(R$4&lt;$Z85,"",IF(SUM($D85:Q85)&lt;$AA85,IF('Control Panel'!$C$78=0,0,$AA85/'Control Panel'!$C$78),0))</f>
        <v>0</v>
      </c>
      <c r="S85" s="234">
        <f>IF(S$4&lt;$Z85,"",IF(SUM($D85:R85)&lt;$AA85,IF('Control Panel'!$C$78=0,0,$AA85/'Control Panel'!$C$78),0))</f>
        <v>0</v>
      </c>
      <c r="T85" s="234">
        <f>IF(T$4&lt;$Z85,"",IF(SUM($D85:S85)&lt;$AA85,IF('Control Panel'!$C$78=0,0,$AA85/'Control Panel'!$C$78),0))</f>
        <v>0</v>
      </c>
      <c r="U85" s="234">
        <f>IF(U$4&lt;$Z85,"",IF(SUM($D85:T85)&lt;$AA85,IF('Control Panel'!$C$78=0,0,$AA85/'Control Panel'!$C$78),0))</f>
        <v>0</v>
      </c>
      <c r="V85" s="234">
        <f>IF(V$4&lt;$Z85,"",IF(SUM($D85:U85)&lt;$AA85,IF('Control Panel'!$C$78=0,0,$AA85/'Control Panel'!$C$78),0))</f>
        <v>0</v>
      </c>
      <c r="W85" s="234">
        <f>IF(W$4&lt;$Z85,"",IF(SUM($D85:V85)&lt;$AA85,IF('Control Panel'!$C$78=0,0,$AA85/'Control Panel'!$C$78),0))</f>
        <v>0</v>
      </c>
      <c r="X85" s="235">
        <f>IF(X$4&lt;$Z85,"",IF(SUM($D85:W85)&lt;$AA85,IF('Control Panel'!$C$78=0,0,$AA85/'Control Panel'!$C$78),0))</f>
        <v>0</v>
      </c>
      <c r="Y85" s="143"/>
      <c r="Z85" s="232">
        <f t="shared" si="29"/>
        <v>9</v>
      </c>
      <c r="AA85" s="143">
        <v>0</v>
      </c>
    </row>
    <row r="86" spans="3:27" outlineLevel="1">
      <c r="C86" s="37"/>
      <c r="D86" s="37"/>
      <c r="E86" s="233" t="str">
        <f>IF(E$4&lt;$Z86,"",IF(SUM($D86:D86)&lt;$AA86,IF('Control Panel'!$C$78=0,0,$AA86/'Control Panel'!$C$78),0))</f>
        <v/>
      </c>
      <c r="F86" s="234" t="str">
        <f>IF(F$4&lt;$Z86,"",IF(SUM($D86:E86)&lt;$AA86,IF('Control Panel'!$C$78=0,0,$AA86/'Control Panel'!$C$78),0))</f>
        <v/>
      </c>
      <c r="G86" s="234" t="str">
        <f>IF(G$4&lt;$Z86,"",IF(SUM($D86:F86)&lt;$AA86,IF('Control Panel'!$C$78=0,0,$AA86/'Control Panel'!$C$78),0))</f>
        <v/>
      </c>
      <c r="H86" s="234" t="str">
        <f>IF(H$4&lt;$Z86,"",IF(SUM($D86:G86)&lt;$AA86,IF('Control Panel'!$C$78=0,0,$AA86/'Control Panel'!$C$78),0))</f>
        <v/>
      </c>
      <c r="I86" s="234" t="str">
        <f>IF(I$4&lt;$Z86,"",IF(SUM($D86:H86)&lt;$AA86,IF('Control Panel'!$C$78=0,0,$AA86/'Control Panel'!$C$78),0))</f>
        <v/>
      </c>
      <c r="J86" s="234" t="str">
        <f>IF(J$4&lt;$Z86,"",IF(SUM($D86:I86)&lt;$AA86,IF('Control Panel'!$C$78=0,0,$AA86/'Control Panel'!$C$78),0))</f>
        <v/>
      </c>
      <c r="K86" s="234" t="str">
        <f>IF(K$4&lt;$Z86,"",IF(SUM($D86:J86)&lt;$AA86,IF('Control Panel'!$C$78=0,0,$AA86/'Control Panel'!$C$78),0))</f>
        <v/>
      </c>
      <c r="L86" s="234" t="str">
        <f>IF(L$4&lt;$Z86,"",IF(SUM($D86:K86)&lt;$AA86,IF('Control Panel'!$C$78=0,0,$AA86/'Control Panel'!$C$78),0))</f>
        <v/>
      </c>
      <c r="M86" s="234" t="str">
        <f>IF(M$4&lt;$Z86,"",IF(SUM($D86:L86)&lt;$AA86,IF('Control Panel'!$C$78=0,0,$AA86/'Control Panel'!$C$78),0))</f>
        <v/>
      </c>
      <c r="N86" s="234">
        <f>IF(N$4&lt;$Z86,"",IF(SUM($D86:M86)&lt;$AA86,IF('Control Panel'!$C$78=0,0,$AA86/'Control Panel'!$C$78),0))</f>
        <v>0</v>
      </c>
      <c r="O86" s="234">
        <f>IF(O$4&lt;$Z86,"",IF(SUM($D86:N86)&lt;$AA86,IF('Control Panel'!$C$78=0,0,$AA86/'Control Panel'!$C$78),0))</f>
        <v>0</v>
      </c>
      <c r="P86" s="234">
        <f>IF(P$4&lt;$Z86,"",IF(SUM($D86:O86)&lt;$AA86,IF('Control Panel'!$C$78=0,0,$AA86/'Control Panel'!$C$78),0))</f>
        <v>0</v>
      </c>
      <c r="Q86" s="234">
        <f>IF(Q$4&lt;$Z86,"",IF(SUM($D86:P86)&lt;$AA86,IF('Control Panel'!$C$78=0,0,$AA86/'Control Panel'!$C$78),0))</f>
        <v>0</v>
      </c>
      <c r="R86" s="234">
        <f>IF(R$4&lt;$Z86,"",IF(SUM($D86:Q86)&lt;$AA86,IF('Control Panel'!$C$78=0,0,$AA86/'Control Panel'!$C$78),0))</f>
        <v>0</v>
      </c>
      <c r="S86" s="234">
        <f>IF(S$4&lt;$Z86,"",IF(SUM($D86:R86)&lt;$AA86,IF('Control Panel'!$C$78=0,0,$AA86/'Control Panel'!$C$78),0))</f>
        <v>0</v>
      </c>
      <c r="T86" s="234">
        <f>IF(T$4&lt;$Z86,"",IF(SUM($D86:S86)&lt;$AA86,IF('Control Panel'!$C$78=0,0,$AA86/'Control Panel'!$C$78),0))</f>
        <v>0</v>
      </c>
      <c r="U86" s="234">
        <f>IF(U$4&lt;$Z86,"",IF(SUM($D86:T86)&lt;$AA86,IF('Control Panel'!$C$78=0,0,$AA86/'Control Panel'!$C$78),0))</f>
        <v>0</v>
      </c>
      <c r="V86" s="234">
        <f>IF(V$4&lt;$Z86,"",IF(SUM($D86:U86)&lt;$AA86,IF('Control Panel'!$C$78=0,0,$AA86/'Control Panel'!$C$78),0))</f>
        <v>0</v>
      </c>
      <c r="W86" s="234">
        <f>IF(W$4&lt;$Z86,"",IF(SUM($D86:V86)&lt;$AA86,IF('Control Panel'!$C$78=0,0,$AA86/'Control Panel'!$C$78),0))</f>
        <v>0</v>
      </c>
      <c r="X86" s="235">
        <f>IF(X$4&lt;$Z86,"",IF(SUM($D86:W86)&lt;$AA86,IF('Control Panel'!$C$78=0,0,$AA86/'Control Panel'!$C$78),0))</f>
        <v>0</v>
      </c>
      <c r="Y86" s="143"/>
      <c r="Z86" s="232">
        <f t="shared" si="29"/>
        <v>10</v>
      </c>
      <c r="AA86" s="143">
        <v>0</v>
      </c>
    </row>
    <row r="87" spans="3:27" outlineLevel="1">
      <c r="C87" s="37"/>
      <c r="D87" s="37"/>
      <c r="E87" s="233" t="str">
        <f>IF(E$4&lt;$Z87,"",IF(SUM($D87:D87)&lt;$AA87,IF('Control Panel'!$C$78=0,0,$AA87/'Control Panel'!$C$78),0))</f>
        <v/>
      </c>
      <c r="F87" s="234" t="str">
        <f>IF(F$4&lt;$Z87,"",IF(SUM($D87:E87)&lt;$AA87,IF('Control Panel'!$C$78=0,0,$AA87/'Control Panel'!$C$78),0))</f>
        <v/>
      </c>
      <c r="G87" s="234" t="str">
        <f>IF(G$4&lt;$Z87,"",IF(SUM($D87:F87)&lt;$AA87,IF('Control Panel'!$C$78=0,0,$AA87/'Control Panel'!$C$78),0))</f>
        <v/>
      </c>
      <c r="H87" s="234" t="str">
        <f>IF(H$4&lt;$Z87,"",IF(SUM($D87:G87)&lt;$AA87,IF('Control Panel'!$C$78=0,0,$AA87/'Control Panel'!$C$78),0))</f>
        <v/>
      </c>
      <c r="I87" s="234" t="str">
        <f>IF(I$4&lt;$Z87,"",IF(SUM($D87:H87)&lt;$AA87,IF('Control Panel'!$C$78=0,0,$AA87/'Control Panel'!$C$78),0))</f>
        <v/>
      </c>
      <c r="J87" s="234" t="str">
        <f>IF(J$4&lt;$Z87,"",IF(SUM($D87:I87)&lt;$AA87,IF('Control Panel'!$C$78=0,0,$AA87/'Control Panel'!$C$78),0))</f>
        <v/>
      </c>
      <c r="K87" s="234" t="str">
        <f>IF(K$4&lt;$Z87,"",IF(SUM($D87:J87)&lt;$AA87,IF('Control Panel'!$C$78=0,0,$AA87/'Control Panel'!$C$78),0))</f>
        <v/>
      </c>
      <c r="L87" s="234" t="str">
        <f>IF(L$4&lt;$Z87,"",IF(SUM($D87:K87)&lt;$AA87,IF('Control Panel'!$C$78=0,0,$AA87/'Control Panel'!$C$78),0))</f>
        <v/>
      </c>
      <c r="M87" s="234" t="str">
        <f>IF(M$4&lt;$Z87,"",IF(SUM($D87:L87)&lt;$AA87,IF('Control Panel'!$C$78=0,0,$AA87/'Control Panel'!$C$78),0))</f>
        <v/>
      </c>
      <c r="N87" s="234" t="str">
        <f>IF(N$4&lt;$Z87,"",IF(SUM($D87:M87)&lt;$AA87,IF('Control Panel'!$C$78=0,0,$AA87/'Control Panel'!$C$78),0))</f>
        <v/>
      </c>
      <c r="O87" s="234">
        <f>IF(O$4&lt;$Z87,"",IF(SUM($D87:N87)&lt;$AA87,IF('Control Panel'!$C$78=0,0,$AA87/'Control Panel'!$C$78),0))</f>
        <v>0</v>
      </c>
      <c r="P87" s="234">
        <f>IF(P$4&lt;$Z87,"",IF(SUM($D87:O87)&lt;$AA87,IF('Control Panel'!$C$78=0,0,$AA87/'Control Panel'!$C$78),0))</f>
        <v>0</v>
      </c>
      <c r="Q87" s="234">
        <f>IF(Q$4&lt;$Z87,"",IF(SUM($D87:P87)&lt;$AA87,IF('Control Panel'!$C$78=0,0,$AA87/'Control Panel'!$C$78),0))</f>
        <v>0</v>
      </c>
      <c r="R87" s="234">
        <f>IF(R$4&lt;$Z87,"",IF(SUM($D87:Q87)&lt;$AA87,IF('Control Panel'!$C$78=0,0,$AA87/'Control Panel'!$C$78),0))</f>
        <v>0</v>
      </c>
      <c r="S87" s="234">
        <f>IF(S$4&lt;$Z87,"",IF(SUM($D87:R87)&lt;$AA87,IF('Control Panel'!$C$78=0,0,$AA87/'Control Panel'!$C$78),0))</f>
        <v>0</v>
      </c>
      <c r="T87" s="234">
        <f>IF(T$4&lt;$Z87,"",IF(SUM($D87:S87)&lt;$AA87,IF('Control Panel'!$C$78=0,0,$AA87/'Control Panel'!$C$78),0))</f>
        <v>0</v>
      </c>
      <c r="U87" s="234">
        <f>IF(U$4&lt;$Z87,"",IF(SUM($D87:T87)&lt;$AA87,IF('Control Panel'!$C$78=0,0,$AA87/'Control Panel'!$C$78),0))</f>
        <v>0</v>
      </c>
      <c r="V87" s="234">
        <f>IF(V$4&lt;$Z87,"",IF(SUM($D87:U87)&lt;$AA87,IF('Control Panel'!$C$78=0,0,$AA87/'Control Panel'!$C$78),0))</f>
        <v>0</v>
      </c>
      <c r="W87" s="234">
        <f>IF(W$4&lt;$Z87,"",IF(SUM($D87:V87)&lt;$AA87,IF('Control Panel'!$C$78=0,0,$AA87/'Control Panel'!$C$78),0))</f>
        <v>0</v>
      </c>
      <c r="X87" s="235">
        <f>IF(X$4&lt;$Z87,"",IF(SUM($D87:W87)&lt;$AA87,IF('Control Panel'!$C$78=0,0,$AA87/'Control Panel'!$C$78),0))</f>
        <v>0</v>
      </c>
      <c r="Y87" s="143"/>
      <c r="Z87" s="232">
        <f t="shared" si="29"/>
        <v>11</v>
      </c>
      <c r="AA87" s="143">
        <v>0</v>
      </c>
    </row>
    <row r="88" spans="3:27" outlineLevel="1">
      <c r="C88" s="37"/>
      <c r="D88" s="37"/>
      <c r="E88" s="233" t="str">
        <f>IF(E$4&lt;$Z88,"",IF(SUM($D88:D88)&lt;$AA88,IF('Control Panel'!$C$78=0,0,$AA88/'Control Panel'!$C$78),0))</f>
        <v/>
      </c>
      <c r="F88" s="234" t="str">
        <f>IF(F$4&lt;$Z88,"",IF(SUM($D88:E88)&lt;$AA88,IF('Control Panel'!$C$78=0,0,$AA88/'Control Panel'!$C$78),0))</f>
        <v/>
      </c>
      <c r="G88" s="234" t="str">
        <f>IF(G$4&lt;$Z88,"",IF(SUM($D88:F88)&lt;$AA88,IF('Control Panel'!$C$78=0,0,$AA88/'Control Panel'!$C$78),0))</f>
        <v/>
      </c>
      <c r="H88" s="234" t="str">
        <f>IF(H$4&lt;$Z88,"",IF(SUM($D88:G88)&lt;$AA88,IF('Control Panel'!$C$78=0,0,$AA88/'Control Panel'!$C$78),0))</f>
        <v/>
      </c>
      <c r="I88" s="234" t="str">
        <f>IF(I$4&lt;$Z88,"",IF(SUM($D88:H88)&lt;$AA88,IF('Control Panel'!$C$78=0,0,$AA88/'Control Panel'!$C$78),0))</f>
        <v/>
      </c>
      <c r="J88" s="234" t="str">
        <f>IF(J$4&lt;$Z88,"",IF(SUM($D88:I88)&lt;$AA88,IF('Control Panel'!$C$78=0,0,$AA88/'Control Panel'!$C$78),0))</f>
        <v/>
      </c>
      <c r="K88" s="234" t="str">
        <f>IF(K$4&lt;$Z88,"",IF(SUM($D88:J88)&lt;$AA88,IF('Control Panel'!$C$78=0,0,$AA88/'Control Panel'!$C$78),0))</f>
        <v/>
      </c>
      <c r="L88" s="234" t="str">
        <f>IF(L$4&lt;$Z88,"",IF(SUM($D88:K88)&lt;$AA88,IF('Control Panel'!$C$78=0,0,$AA88/'Control Panel'!$C$78),0))</f>
        <v/>
      </c>
      <c r="M88" s="234" t="str">
        <f>IF(M$4&lt;$Z88,"",IF(SUM($D88:L88)&lt;$AA88,IF('Control Panel'!$C$78=0,0,$AA88/'Control Panel'!$C$78),0))</f>
        <v/>
      </c>
      <c r="N88" s="234" t="str">
        <f>IF(N$4&lt;$Z88,"",IF(SUM($D88:M88)&lt;$AA88,IF('Control Panel'!$C$78=0,0,$AA88/'Control Panel'!$C$78),0))</f>
        <v/>
      </c>
      <c r="O88" s="234" t="str">
        <f>IF(O$4&lt;$Z88,"",IF(SUM($D88:N88)&lt;$AA88,IF('Control Panel'!$C$78=0,0,$AA88/'Control Panel'!$C$78),0))</f>
        <v/>
      </c>
      <c r="P88" s="234">
        <f>IF(P$4&lt;$Z88,"",IF(SUM($D88:O88)&lt;$AA88,IF('Control Panel'!$C$78=0,0,$AA88/'Control Panel'!$C$78),0))</f>
        <v>0</v>
      </c>
      <c r="Q88" s="234">
        <f>IF(Q$4&lt;$Z88,"",IF(SUM($D88:P88)&lt;$AA88,IF('Control Panel'!$C$78=0,0,$AA88/'Control Panel'!$C$78),0))</f>
        <v>0</v>
      </c>
      <c r="R88" s="234">
        <f>IF(R$4&lt;$Z88,"",IF(SUM($D88:Q88)&lt;$AA88,IF('Control Panel'!$C$78=0,0,$AA88/'Control Panel'!$C$78),0))</f>
        <v>0</v>
      </c>
      <c r="S88" s="234">
        <f>IF(S$4&lt;$Z88,"",IF(SUM($D88:R88)&lt;$AA88,IF('Control Panel'!$C$78=0,0,$AA88/'Control Panel'!$C$78),0))</f>
        <v>0</v>
      </c>
      <c r="T88" s="234">
        <f>IF(T$4&lt;$Z88,"",IF(SUM($D88:S88)&lt;$AA88,IF('Control Panel'!$C$78=0,0,$AA88/'Control Panel'!$C$78),0))</f>
        <v>0</v>
      </c>
      <c r="U88" s="234">
        <f>IF(U$4&lt;$Z88,"",IF(SUM($D88:T88)&lt;$AA88,IF('Control Panel'!$C$78=0,0,$AA88/'Control Panel'!$C$78),0))</f>
        <v>0</v>
      </c>
      <c r="V88" s="234">
        <f>IF(V$4&lt;$Z88,"",IF(SUM($D88:U88)&lt;$AA88,IF('Control Panel'!$C$78=0,0,$AA88/'Control Panel'!$C$78),0))</f>
        <v>0</v>
      </c>
      <c r="W88" s="234">
        <f>IF(W$4&lt;$Z88,"",IF(SUM($D88:V88)&lt;$AA88,IF('Control Panel'!$C$78=0,0,$AA88/'Control Panel'!$C$78),0))</f>
        <v>0</v>
      </c>
      <c r="X88" s="235">
        <f>IF(X$4&lt;$Z88,"",IF(SUM($D88:W88)&lt;$AA88,IF('Control Panel'!$C$78=0,0,$AA88/'Control Panel'!$C$78),0))</f>
        <v>0</v>
      </c>
      <c r="Y88" s="143"/>
      <c r="Z88" s="232">
        <f t="shared" si="29"/>
        <v>12</v>
      </c>
      <c r="AA88" s="143">
        <v>0</v>
      </c>
    </row>
    <row r="89" spans="3:27" outlineLevel="1">
      <c r="C89" s="37"/>
      <c r="D89" s="37"/>
      <c r="E89" s="233" t="str">
        <f>IF(E$4&lt;$Z89,"",IF(SUM($D89:D89)&lt;$AA89,IF('Control Panel'!$C$78=0,0,$AA89/'Control Panel'!$C$78),0))</f>
        <v/>
      </c>
      <c r="F89" s="234" t="str">
        <f>IF(F$4&lt;$Z89,"",IF(SUM($D89:E89)&lt;$AA89,IF('Control Panel'!$C$78=0,0,$AA89/'Control Panel'!$C$78),0))</f>
        <v/>
      </c>
      <c r="G89" s="234" t="str">
        <f>IF(G$4&lt;$Z89,"",IF(SUM($D89:F89)&lt;$AA89,IF('Control Panel'!$C$78=0,0,$AA89/'Control Panel'!$C$78),0))</f>
        <v/>
      </c>
      <c r="H89" s="234" t="str">
        <f>IF(H$4&lt;$Z89,"",IF(SUM($D89:G89)&lt;$AA89,IF('Control Panel'!$C$78=0,0,$AA89/'Control Panel'!$C$78),0))</f>
        <v/>
      </c>
      <c r="I89" s="234" t="str">
        <f>IF(I$4&lt;$Z89,"",IF(SUM($D89:H89)&lt;$AA89,IF('Control Panel'!$C$78=0,0,$AA89/'Control Panel'!$C$78),0))</f>
        <v/>
      </c>
      <c r="J89" s="234" t="str">
        <f>IF(J$4&lt;$Z89,"",IF(SUM($D89:I89)&lt;$AA89,IF('Control Panel'!$C$78=0,0,$AA89/'Control Panel'!$C$78),0))</f>
        <v/>
      </c>
      <c r="K89" s="234" t="str">
        <f>IF(K$4&lt;$Z89,"",IF(SUM($D89:J89)&lt;$AA89,IF('Control Panel'!$C$78=0,0,$AA89/'Control Panel'!$C$78),0))</f>
        <v/>
      </c>
      <c r="L89" s="234" t="str">
        <f>IF(L$4&lt;$Z89,"",IF(SUM($D89:K89)&lt;$AA89,IF('Control Panel'!$C$78=0,0,$AA89/'Control Panel'!$C$78),0))</f>
        <v/>
      </c>
      <c r="M89" s="234" t="str">
        <f>IF(M$4&lt;$Z89,"",IF(SUM($D89:L89)&lt;$AA89,IF('Control Panel'!$C$78=0,0,$AA89/'Control Panel'!$C$78),0))</f>
        <v/>
      </c>
      <c r="N89" s="234" t="str">
        <f>IF(N$4&lt;$Z89,"",IF(SUM($D89:M89)&lt;$AA89,IF('Control Panel'!$C$78=0,0,$AA89/'Control Panel'!$C$78),0))</f>
        <v/>
      </c>
      <c r="O89" s="234" t="str">
        <f>IF(O$4&lt;$Z89,"",IF(SUM($D89:N89)&lt;$AA89,IF('Control Panel'!$C$78=0,0,$AA89/'Control Panel'!$C$78),0))</f>
        <v/>
      </c>
      <c r="P89" s="234" t="str">
        <f>IF(P$4&lt;$Z89,"",IF(SUM($D89:O89)&lt;$AA89,IF('Control Panel'!$C$78=0,0,$AA89/'Control Panel'!$C$78),0))</f>
        <v/>
      </c>
      <c r="Q89" s="234">
        <f>IF(Q$4&lt;$Z89,"",IF(SUM($D89:P89)&lt;$AA89,IF('Control Panel'!$C$78=0,0,$AA89/'Control Panel'!$C$78),0))</f>
        <v>0</v>
      </c>
      <c r="R89" s="234">
        <f>IF(R$4&lt;$Z89,"",IF(SUM($D89:Q89)&lt;$AA89,IF('Control Panel'!$C$78=0,0,$AA89/'Control Panel'!$C$78),0))</f>
        <v>0</v>
      </c>
      <c r="S89" s="234">
        <f>IF(S$4&lt;$Z89,"",IF(SUM($D89:R89)&lt;$AA89,IF('Control Panel'!$C$78=0,0,$AA89/'Control Panel'!$C$78),0))</f>
        <v>0</v>
      </c>
      <c r="T89" s="234">
        <f>IF(T$4&lt;$Z89,"",IF(SUM($D89:S89)&lt;$AA89,IF('Control Panel'!$C$78=0,0,$AA89/'Control Panel'!$C$78),0))</f>
        <v>0</v>
      </c>
      <c r="U89" s="234">
        <f>IF(U$4&lt;$Z89,"",IF(SUM($D89:T89)&lt;$AA89,IF('Control Panel'!$C$78=0,0,$AA89/'Control Panel'!$C$78),0))</f>
        <v>0</v>
      </c>
      <c r="V89" s="234">
        <f>IF(V$4&lt;$Z89,"",IF(SUM($D89:U89)&lt;$AA89,IF('Control Panel'!$C$78=0,0,$AA89/'Control Panel'!$C$78),0))</f>
        <v>0</v>
      </c>
      <c r="W89" s="234">
        <f>IF(W$4&lt;$Z89,"",IF(SUM($D89:V89)&lt;$AA89,IF('Control Panel'!$C$78=0,0,$AA89/'Control Panel'!$C$78),0))</f>
        <v>0</v>
      </c>
      <c r="X89" s="235">
        <f>IF(X$4&lt;$Z89,"",IF(SUM($D89:W89)&lt;$AA89,IF('Control Panel'!$C$78=0,0,$AA89/'Control Panel'!$C$78),0))</f>
        <v>0</v>
      </c>
      <c r="Y89" s="143"/>
      <c r="Z89" s="232">
        <f t="shared" si="29"/>
        <v>13</v>
      </c>
      <c r="AA89" s="143">
        <v>0</v>
      </c>
    </row>
    <row r="90" spans="3:27" outlineLevel="1">
      <c r="C90" s="37"/>
      <c r="D90" s="37"/>
      <c r="E90" s="233" t="str">
        <f>IF(E$4&lt;$Z90,"",IF(SUM($D90:D90)&lt;$AA90,IF('Control Panel'!$C$78=0,0,$AA90/'Control Panel'!$C$78),0))</f>
        <v/>
      </c>
      <c r="F90" s="234" t="str">
        <f>IF(F$4&lt;$Z90,"",IF(SUM($D90:E90)&lt;$AA90,IF('Control Panel'!$C$78=0,0,$AA90/'Control Panel'!$C$78),0))</f>
        <v/>
      </c>
      <c r="G90" s="234" t="str">
        <f>IF(G$4&lt;$Z90,"",IF(SUM($D90:F90)&lt;$AA90,IF('Control Panel'!$C$78=0,0,$AA90/'Control Panel'!$C$78),0))</f>
        <v/>
      </c>
      <c r="H90" s="234" t="str">
        <f>IF(H$4&lt;$Z90,"",IF(SUM($D90:G90)&lt;$AA90,IF('Control Panel'!$C$78=0,0,$AA90/'Control Panel'!$C$78),0))</f>
        <v/>
      </c>
      <c r="I90" s="234" t="str">
        <f>IF(I$4&lt;$Z90,"",IF(SUM($D90:H90)&lt;$AA90,IF('Control Panel'!$C$78=0,0,$AA90/'Control Panel'!$C$78),0))</f>
        <v/>
      </c>
      <c r="J90" s="234" t="str">
        <f>IF(J$4&lt;$Z90,"",IF(SUM($D90:I90)&lt;$AA90,IF('Control Panel'!$C$78=0,0,$AA90/'Control Panel'!$C$78),0))</f>
        <v/>
      </c>
      <c r="K90" s="234" t="str">
        <f>IF(K$4&lt;$Z90,"",IF(SUM($D90:J90)&lt;$AA90,IF('Control Panel'!$C$78=0,0,$AA90/'Control Panel'!$C$78),0))</f>
        <v/>
      </c>
      <c r="L90" s="234" t="str">
        <f>IF(L$4&lt;$Z90,"",IF(SUM($D90:K90)&lt;$AA90,IF('Control Panel'!$C$78=0,0,$AA90/'Control Panel'!$C$78),0))</f>
        <v/>
      </c>
      <c r="M90" s="234" t="str">
        <f>IF(M$4&lt;$Z90,"",IF(SUM($D90:L90)&lt;$AA90,IF('Control Panel'!$C$78=0,0,$AA90/'Control Panel'!$C$78),0))</f>
        <v/>
      </c>
      <c r="N90" s="234" t="str">
        <f>IF(N$4&lt;$Z90,"",IF(SUM($D90:M90)&lt;$AA90,IF('Control Panel'!$C$78=0,0,$AA90/'Control Panel'!$C$78),0))</f>
        <v/>
      </c>
      <c r="O90" s="234" t="str">
        <f>IF(O$4&lt;$Z90,"",IF(SUM($D90:N90)&lt;$AA90,IF('Control Panel'!$C$78=0,0,$AA90/'Control Panel'!$C$78),0))</f>
        <v/>
      </c>
      <c r="P90" s="234" t="str">
        <f>IF(P$4&lt;$Z90,"",IF(SUM($D90:O90)&lt;$AA90,IF('Control Panel'!$C$78=0,0,$AA90/'Control Panel'!$C$78),0))</f>
        <v/>
      </c>
      <c r="Q90" s="234" t="str">
        <f>IF(Q$4&lt;$Z90,"",IF(SUM($D90:P90)&lt;$AA90,IF('Control Panel'!$C$78=0,0,$AA90/'Control Panel'!$C$78),0))</f>
        <v/>
      </c>
      <c r="R90" s="234">
        <f>IF(R$4&lt;$Z90,"",IF(SUM($D90:Q90)&lt;$AA90,IF('Control Panel'!$C$78=0,0,$AA90/'Control Panel'!$C$78),0))</f>
        <v>0</v>
      </c>
      <c r="S90" s="234">
        <f>IF(S$4&lt;$Z90,"",IF(SUM($D90:R90)&lt;$AA90,IF('Control Panel'!$C$78=0,0,$AA90/'Control Panel'!$C$78),0))</f>
        <v>0</v>
      </c>
      <c r="T90" s="234">
        <f>IF(T$4&lt;$Z90,"",IF(SUM($D90:S90)&lt;$AA90,IF('Control Panel'!$C$78=0,0,$AA90/'Control Panel'!$C$78),0))</f>
        <v>0</v>
      </c>
      <c r="U90" s="234">
        <f>IF(U$4&lt;$Z90,"",IF(SUM($D90:T90)&lt;$AA90,IF('Control Panel'!$C$78=0,0,$AA90/'Control Panel'!$C$78),0))</f>
        <v>0</v>
      </c>
      <c r="V90" s="234">
        <f>IF(V$4&lt;$Z90,"",IF(SUM($D90:U90)&lt;$AA90,IF('Control Panel'!$C$78=0,0,$AA90/'Control Panel'!$C$78),0))</f>
        <v>0</v>
      </c>
      <c r="W90" s="234">
        <f>IF(W$4&lt;$Z90,"",IF(SUM($D90:V90)&lt;$AA90,IF('Control Panel'!$C$78=0,0,$AA90/'Control Panel'!$C$78),0))</f>
        <v>0</v>
      </c>
      <c r="X90" s="235">
        <f>IF(X$4&lt;$Z90,"",IF(SUM($D90:W90)&lt;$AA90,IF('Control Panel'!$C$78=0,0,$AA90/'Control Panel'!$C$78),0))</f>
        <v>0</v>
      </c>
      <c r="Y90" s="143"/>
      <c r="Z90" s="232">
        <f t="shared" si="29"/>
        <v>14</v>
      </c>
      <c r="AA90" s="143">
        <v>0</v>
      </c>
    </row>
    <row r="91" spans="3:27" outlineLevel="1">
      <c r="C91" s="37"/>
      <c r="D91" s="37"/>
      <c r="E91" s="233" t="str">
        <f>IF(E$4&lt;$Z91,"",IF(SUM($D91:D91)&lt;$AA91,IF('Control Panel'!$C$78=0,0,$AA91/'Control Panel'!$C$78),0))</f>
        <v/>
      </c>
      <c r="F91" s="234" t="str">
        <f>IF(F$4&lt;$Z91,"",IF(SUM($D91:E91)&lt;$AA91,IF('Control Panel'!$C$78=0,0,$AA91/'Control Panel'!$C$78),0))</f>
        <v/>
      </c>
      <c r="G91" s="234" t="str">
        <f>IF(G$4&lt;$Z91,"",IF(SUM($D91:F91)&lt;$AA91,IF('Control Panel'!$C$78=0,0,$AA91/'Control Panel'!$C$78),0))</f>
        <v/>
      </c>
      <c r="H91" s="234" t="str">
        <f>IF(H$4&lt;$Z91,"",IF(SUM($D91:G91)&lt;$AA91,IF('Control Panel'!$C$78=0,0,$AA91/'Control Panel'!$C$78),0))</f>
        <v/>
      </c>
      <c r="I91" s="234" t="str">
        <f>IF(I$4&lt;$Z91,"",IF(SUM($D91:H91)&lt;$AA91,IF('Control Panel'!$C$78=0,0,$AA91/'Control Panel'!$C$78),0))</f>
        <v/>
      </c>
      <c r="J91" s="234" t="str">
        <f>IF(J$4&lt;$Z91,"",IF(SUM($D91:I91)&lt;$AA91,IF('Control Panel'!$C$78=0,0,$AA91/'Control Panel'!$C$78),0))</f>
        <v/>
      </c>
      <c r="K91" s="234" t="str">
        <f>IF(K$4&lt;$Z91,"",IF(SUM($D91:J91)&lt;$AA91,IF('Control Panel'!$C$78=0,0,$AA91/'Control Panel'!$C$78),0))</f>
        <v/>
      </c>
      <c r="L91" s="234" t="str">
        <f>IF(L$4&lt;$Z91,"",IF(SUM($D91:K91)&lt;$AA91,IF('Control Panel'!$C$78=0,0,$AA91/'Control Panel'!$C$78),0))</f>
        <v/>
      </c>
      <c r="M91" s="234" t="str">
        <f>IF(M$4&lt;$Z91,"",IF(SUM($D91:L91)&lt;$AA91,IF('Control Panel'!$C$78=0,0,$AA91/'Control Panel'!$C$78),0))</f>
        <v/>
      </c>
      <c r="N91" s="234" t="str">
        <f>IF(N$4&lt;$Z91,"",IF(SUM($D91:M91)&lt;$AA91,IF('Control Panel'!$C$78=0,0,$AA91/'Control Panel'!$C$78),0))</f>
        <v/>
      </c>
      <c r="O91" s="234" t="str">
        <f>IF(O$4&lt;$Z91,"",IF(SUM($D91:N91)&lt;$AA91,IF('Control Panel'!$C$78=0,0,$AA91/'Control Panel'!$C$78),0))</f>
        <v/>
      </c>
      <c r="P91" s="234" t="str">
        <f>IF(P$4&lt;$Z91,"",IF(SUM($D91:O91)&lt;$AA91,IF('Control Panel'!$C$78=0,0,$AA91/'Control Panel'!$C$78),0))</f>
        <v/>
      </c>
      <c r="Q91" s="234" t="str">
        <f>IF(Q$4&lt;$Z91,"",IF(SUM($D91:P91)&lt;$AA91,IF('Control Panel'!$C$78=0,0,$AA91/'Control Panel'!$C$78),0))</f>
        <v/>
      </c>
      <c r="R91" s="234" t="str">
        <f>IF(R$4&lt;$Z91,"",IF(SUM($D91:Q91)&lt;$AA91,IF('Control Panel'!$C$78=0,0,$AA91/'Control Panel'!$C$78),0))</f>
        <v/>
      </c>
      <c r="S91" s="234">
        <f>IF(S$4&lt;$Z91,"",IF(SUM($D91:R91)&lt;$AA91,IF('Control Panel'!$C$78=0,0,$AA91/'Control Panel'!$C$78),0))</f>
        <v>0</v>
      </c>
      <c r="T91" s="234">
        <f>IF(T$4&lt;$Z91,"",IF(SUM($D91:S91)&lt;$AA91,IF('Control Panel'!$C$78=0,0,$AA91/'Control Panel'!$C$78),0))</f>
        <v>0</v>
      </c>
      <c r="U91" s="234">
        <f>IF(U$4&lt;$Z91,"",IF(SUM($D91:T91)&lt;$AA91,IF('Control Panel'!$C$78=0,0,$AA91/'Control Panel'!$C$78),0))</f>
        <v>0</v>
      </c>
      <c r="V91" s="234">
        <f>IF(V$4&lt;$Z91,"",IF(SUM($D91:U91)&lt;$AA91,IF('Control Panel'!$C$78=0,0,$AA91/'Control Panel'!$C$78),0))</f>
        <v>0</v>
      </c>
      <c r="W91" s="234">
        <f>IF(W$4&lt;$Z91,"",IF(SUM($D91:V91)&lt;$AA91,IF('Control Panel'!$C$78=0,0,$AA91/'Control Panel'!$C$78),0))</f>
        <v>0</v>
      </c>
      <c r="X91" s="235">
        <f>IF(X$4&lt;$Z91,"",IF(SUM($D91:W91)&lt;$AA91,IF('Control Panel'!$C$78=0,0,$AA91/'Control Panel'!$C$78),0))</f>
        <v>0</v>
      </c>
      <c r="Y91" s="143"/>
      <c r="Z91" s="232">
        <f t="shared" si="29"/>
        <v>15</v>
      </c>
      <c r="AA91" s="143">
        <v>0</v>
      </c>
    </row>
    <row r="92" spans="3:27" outlineLevel="1">
      <c r="C92" s="37"/>
      <c r="D92" s="37"/>
      <c r="E92" s="233" t="str">
        <f>IF(E$4&lt;$Z92,"",IF(SUM($D92:D92)&lt;$AA92,IF('Control Panel'!$C$78=0,0,$AA92/'Control Panel'!$C$78),0))</f>
        <v/>
      </c>
      <c r="F92" s="234" t="str">
        <f>IF(F$4&lt;$Z92,"",IF(SUM($D92:E92)&lt;$AA92,IF('Control Panel'!$C$78=0,0,$AA92/'Control Panel'!$C$78),0))</f>
        <v/>
      </c>
      <c r="G92" s="234" t="str">
        <f>IF(G$4&lt;$Z92,"",IF(SUM($D92:F92)&lt;$AA92,IF('Control Panel'!$C$78=0,0,$AA92/'Control Panel'!$C$78),0))</f>
        <v/>
      </c>
      <c r="H92" s="234" t="str">
        <f>IF(H$4&lt;$Z92,"",IF(SUM($D92:G92)&lt;$AA92,IF('Control Panel'!$C$78=0,0,$AA92/'Control Panel'!$C$78),0))</f>
        <v/>
      </c>
      <c r="I92" s="234" t="str">
        <f>IF(I$4&lt;$Z92,"",IF(SUM($D92:H92)&lt;$AA92,IF('Control Panel'!$C$78=0,0,$AA92/'Control Panel'!$C$78),0))</f>
        <v/>
      </c>
      <c r="J92" s="234" t="str">
        <f>IF(J$4&lt;$Z92,"",IF(SUM($D92:I92)&lt;$AA92,IF('Control Panel'!$C$78=0,0,$AA92/'Control Panel'!$C$78),0))</f>
        <v/>
      </c>
      <c r="K92" s="234" t="str">
        <f>IF(K$4&lt;$Z92,"",IF(SUM($D92:J92)&lt;$AA92,IF('Control Panel'!$C$78=0,0,$AA92/'Control Panel'!$C$78),0))</f>
        <v/>
      </c>
      <c r="L92" s="234" t="str">
        <f>IF(L$4&lt;$Z92,"",IF(SUM($D92:K92)&lt;$AA92,IF('Control Panel'!$C$78=0,0,$AA92/'Control Panel'!$C$78),0))</f>
        <v/>
      </c>
      <c r="M92" s="234" t="str">
        <f>IF(M$4&lt;$Z92,"",IF(SUM($D92:L92)&lt;$AA92,IF('Control Panel'!$C$78=0,0,$AA92/'Control Panel'!$C$78),0))</f>
        <v/>
      </c>
      <c r="N92" s="234" t="str">
        <f>IF(N$4&lt;$Z92,"",IF(SUM($D92:M92)&lt;$AA92,IF('Control Panel'!$C$78=0,0,$AA92/'Control Panel'!$C$78),0))</f>
        <v/>
      </c>
      <c r="O92" s="234" t="str">
        <f>IF(O$4&lt;$Z92,"",IF(SUM($D92:N92)&lt;$AA92,IF('Control Panel'!$C$78=0,0,$AA92/'Control Panel'!$C$78),0))</f>
        <v/>
      </c>
      <c r="P92" s="234" t="str">
        <f>IF(P$4&lt;$Z92,"",IF(SUM($D92:O92)&lt;$AA92,IF('Control Panel'!$C$78=0,0,$AA92/'Control Panel'!$C$78),0))</f>
        <v/>
      </c>
      <c r="Q92" s="234" t="str">
        <f>IF(Q$4&lt;$Z92,"",IF(SUM($D92:P92)&lt;$AA92,IF('Control Panel'!$C$78=0,0,$AA92/'Control Panel'!$C$78),0))</f>
        <v/>
      </c>
      <c r="R92" s="234" t="str">
        <f>IF(R$4&lt;$Z92,"",IF(SUM($D92:Q92)&lt;$AA92,IF('Control Panel'!$C$78=0,0,$AA92/'Control Panel'!$C$78),0))</f>
        <v/>
      </c>
      <c r="S92" s="234" t="str">
        <f>IF(S$4&lt;$Z92,"",IF(SUM($D92:R92)&lt;$AA92,IF('Control Panel'!$C$78=0,0,$AA92/'Control Panel'!$C$78),0))</f>
        <v/>
      </c>
      <c r="T92" s="234">
        <f>IF(T$4&lt;$Z92,"",IF(SUM($D92:S92)&lt;$AA92,IF('Control Panel'!$C$78=0,0,$AA92/'Control Panel'!$C$78),0))</f>
        <v>0</v>
      </c>
      <c r="U92" s="234">
        <f>IF(U$4&lt;$Z92,"",IF(SUM($D92:T92)&lt;$AA92,IF('Control Panel'!$C$78=0,0,$AA92/'Control Panel'!$C$78),0))</f>
        <v>0</v>
      </c>
      <c r="V92" s="234">
        <f>IF(V$4&lt;$Z92,"",IF(SUM($D92:U92)&lt;$AA92,IF('Control Panel'!$C$78=0,0,$AA92/'Control Panel'!$C$78),0))</f>
        <v>0</v>
      </c>
      <c r="W92" s="234">
        <f>IF(W$4&lt;$Z92,"",IF(SUM($D92:V92)&lt;$AA92,IF('Control Panel'!$C$78=0,0,$AA92/'Control Panel'!$C$78),0))</f>
        <v>0</v>
      </c>
      <c r="X92" s="235">
        <f>IF(X$4&lt;$Z92,"",IF(SUM($D92:W92)&lt;$AA92,IF('Control Panel'!$C$78=0,0,$AA92/'Control Panel'!$C$78),0))</f>
        <v>0</v>
      </c>
      <c r="Y92" s="143"/>
      <c r="Z92" s="232">
        <f t="shared" si="29"/>
        <v>16</v>
      </c>
      <c r="AA92" s="143">
        <v>0</v>
      </c>
    </row>
    <row r="93" spans="3:27" outlineLevel="1">
      <c r="C93" s="37"/>
      <c r="D93" s="37"/>
      <c r="E93" s="233" t="str">
        <f>IF(E$4&lt;$Z93,"",IF(SUM($D93:D93)&lt;$AA93,IF('Control Panel'!$C$78=0,0,$AA93/'Control Panel'!$C$78),0))</f>
        <v/>
      </c>
      <c r="F93" s="234" t="str">
        <f>IF(F$4&lt;$Z93,"",IF(SUM($D93:E93)&lt;$AA93,IF('Control Panel'!$C$78=0,0,$AA93/'Control Panel'!$C$78),0))</f>
        <v/>
      </c>
      <c r="G93" s="234" t="str">
        <f>IF(G$4&lt;$Z93,"",IF(SUM($D93:F93)&lt;$AA93,IF('Control Panel'!$C$78=0,0,$AA93/'Control Panel'!$C$78),0))</f>
        <v/>
      </c>
      <c r="H93" s="234" t="str">
        <f>IF(H$4&lt;$Z93,"",IF(SUM($D93:G93)&lt;$AA93,IF('Control Panel'!$C$78=0,0,$AA93/'Control Panel'!$C$78),0))</f>
        <v/>
      </c>
      <c r="I93" s="234" t="str">
        <f>IF(I$4&lt;$Z93,"",IF(SUM($D93:H93)&lt;$AA93,IF('Control Panel'!$C$78=0,0,$AA93/'Control Panel'!$C$78),0))</f>
        <v/>
      </c>
      <c r="J93" s="234" t="str">
        <f>IF(J$4&lt;$Z93,"",IF(SUM($D93:I93)&lt;$AA93,IF('Control Panel'!$C$78=0,0,$AA93/'Control Panel'!$C$78),0))</f>
        <v/>
      </c>
      <c r="K93" s="234" t="str">
        <f>IF(K$4&lt;$Z93,"",IF(SUM($D93:J93)&lt;$AA93,IF('Control Panel'!$C$78=0,0,$AA93/'Control Panel'!$C$78),0))</f>
        <v/>
      </c>
      <c r="L93" s="234" t="str">
        <f>IF(L$4&lt;$Z93,"",IF(SUM($D93:K93)&lt;$AA93,IF('Control Panel'!$C$78=0,0,$AA93/'Control Panel'!$C$78),0))</f>
        <v/>
      </c>
      <c r="M93" s="234" t="str">
        <f>IF(M$4&lt;$Z93,"",IF(SUM($D93:L93)&lt;$AA93,IF('Control Panel'!$C$78=0,0,$AA93/'Control Panel'!$C$78),0))</f>
        <v/>
      </c>
      <c r="N93" s="234" t="str">
        <f>IF(N$4&lt;$Z93,"",IF(SUM($D93:M93)&lt;$AA93,IF('Control Panel'!$C$78=0,0,$AA93/'Control Panel'!$C$78),0))</f>
        <v/>
      </c>
      <c r="O93" s="234" t="str">
        <f>IF(O$4&lt;$Z93,"",IF(SUM($D93:N93)&lt;$AA93,IF('Control Panel'!$C$78=0,0,$AA93/'Control Panel'!$C$78),0))</f>
        <v/>
      </c>
      <c r="P93" s="234" t="str">
        <f>IF(P$4&lt;$Z93,"",IF(SUM($D93:O93)&lt;$AA93,IF('Control Panel'!$C$78=0,0,$AA93/'Control Panel'!$C$78),0))</f>
        <v/>
      </c>
      <c r="Q93" s="234" t="str">
        <f>IF(Q$4&lt;$Z93,"",IF(SUM($D93:P93)&lt;$AA93,IF('Control Panel'!$C$78=0,0,$AA93/'Control Panel'!$C$78),0))</f>
        <v/>
      </c>
      <c r="R93" s="234" t="str">
        <f>IF(R$4&lt;$Z93,"",IF(SUM($D93:Q93)&lt;$AA93,IF('Control Panel'!$C$78=0,0,$AA93/'Control Panel'!$C$78),0))</f>
        <v/>
      </c>
      <c r="S93" s="234" t="str">
        <f>IF(S$4&lt;$Z93,"",IF(SUM($D93:R93)&lt;$AA93,IF('Control Panel'!$C$78=0,0,$AA93/'Control Panel'!$C$78),0))</f>
        <v/>
      </c>
      <c r="T93" s="234" t="str">
        <f>IF(T$4&lt;$Z93,"",IF(SUM($D93:S93)&lt;$AA93,IF('Control Panel'!$C$78=0,0,$AA93/'Control Panel'!$C$78),0))</f>
        <v/>
      </c>
      <c r="U93" s="234">
        <f>IF(U$4&lt;$Z93,"",IF(SUM($D93:T93)&lt;$AA93,IF('Control Panel'!$C$78=0,0,$AA93/'Control Panel'!$C$78),0))</f>
        <v>0</v>
      </c>
      <c r="V93" s="234">
        <f>IF(V$4&lt;$Z93,"",IF(SUM($D93:U93)&lt;$AA93,IF('Control Panel'!$C$78=0,0,$AA93/'Control Panel'!$C$78),0))</f>
        <v>0</v>
      </c>
      <c r="W93" s="234">
        <f>IF(W$4&lt;$Z93,"",IF(SUM($D93:V93)&lt;$AA93,IF('Control Panel'!$C$78=0,0,$AA93/'Control Panel'!$C$78),0))</f>
        <v>0</v>
      </c>
      <c r="X93" s="235">
        <f>IF(X$4&lt;$Z93,"",IF(SUM($D93:W93)&lt;$AA93,IF('Control Panel'!$C$78=0,0,$AA93/'Control Panel'!$C$78),0))</f>
        <v>0</v>
      </c>
      <c r="Y93" s="143"/>
      <c r="Z93" s="232">
        <f t="shared" si="29"/>
        <v>17</v>
      </c>
      <c r="AA93" s="143">
        <v>0</v>
      </c>
    </row>
    <row r="94" spans="3:27" outlineLevel="1">
      <c r="C94" s="37"/>
      <c r="D94" s="37"/>
      <c r="E94" s="233" t="str">
        <f>IF(E$4&lt;$Z94,"",IF(SUM($D94:D94)&lt;$AA94,IF('Control Panel'!$C$78=0,0,$AA94/'Control Panel'!$C$78),0))</f>
        <v/>
      </c>
      <c r="F94" s="234" t="str">
        <f>IF(F$4&lt;$Z94,"",IF(SUM($D94:E94)&lt;$AA94,IF('Control Panel'!$C$78=0,0,$AA94/'Control Panel'!$C$78),0))</f>
        <v/>
      </c>
      <c r="G94" s="234" t="str">
        <f>IF(G$4&lt;$Z94,"",IF(SUM($D94:F94)&lt;$AA94,IF('Control Panel'!$C$78=0,0,$AA94/'Control Panel'!$C$78),0))</f>
        <v/>
      </c>
      <c r="H94" s="234" t="str">
        <f>IF(H$4&lt;$Z94,"",IF(SUM($D94:G94)&lt;$AA94,IF('Control Panel'!$C$78=0,0,$AA94/'Control Panel'!$C$78),0))</f>
        <v/>
      </c>
      <c r="I94" s="234" t="str">
        <f>IF(I$4&lt;$Z94,"",IF(SUM($D94:H94)&lt;$AA94,IF('Control Panel'!$C$78=0,0,$AA94/'Control Panel'!$C$78),0))</f>
        <v/>
      </c>
      <c r="J94" s="234" t="str">
        <f>IF(J$4&lt;$Z94,"",IF(SUM($D94:I94)&lt;$AA94,IF('Control Panel'!$C$78=0,0,$AA94/'Control Panel'!$C$78),0))</f>
        <v/>
      </c>
      <c r="K94" s="234" t="str">
        <f>IF(K$4&lt;$Z94,"",IF(SUM($D94:J94)&lt;$AA94,IF('Control Panel'!$C$78=0,0,$AA94/'Control Panel'!$C$78),0))</f>
        <v/>
      </c>
      <c r="L94" s="234" t="str">
        <f>IF(L$4&lt;$Z94,"",IF(SUM($D94:K94)&lt;$AA94,IF('Control Panel'!$C$78=0,0,$AA94/'Control Panel'!$C$78),0))</f>
        <v/>
      </c>
      <c r="M94" s="234" t="str">
        <f>IF(M$4&lt;$Z94,"",IF(SUM($D94:L94)&lt;$AA94,IF('Control Panel'!$C$78=0,0,$AA94/'Control Panel'!$C$78),0))</f>
        <v/>
      </c>
      <c r="N94" s="234" t="str">
        <f>IF(N$4&lt;$Z94,"",IF(SUM($D94:M94)&lt;$AA94,IF('Control Panel'!$C$78=0,0,$AA94/'Control Panel'!$C$78),0))</f>
        <v/>
      </c>
      <c r="O94" s="234" t="str">
        <f>IF(O$4&lt;$Z94,"",IF(SUM($D94:N94)&lt;$AA94,IF('Control Panel'!$C$78=0,0,$AA94/'Control Panel'!$C$78),0))</f>
        <v/>
      </c>
      <c r="P94" s="234" t="str">
        <f>IF(P$4&lt;$Z94,"",IF(SUM($D94:O94)&lt;$AA94,IF('Control Panel'!$C$78=0,0,$AA94/'Control Panel'!$C$78),0))</f>
        <v/>
      </c>
      <c r="Q94" s="234" t="str">
        <f>IF(Q$4&lt;$Z94,"",IF(SUM($D94:P94)&lt;$AA94,IF('Control Panel'!$C$78=0,0,$AA94/'Control Panel'!$C$78),0))</f>
        <v/>
      </c>
      <c r="R94" s="234" t="str">
        <f>IF(R$4&lt;$Z94,"",IF(SUM($D94:Q94)&lt;$AA94,IF('Control Panel'!$C$78=0,0,$AA94/'Control Panel'!$C$78),0))</f>
        <v/>
      </c>
      <c r="S94" s="234" t="str">
        <f>IF(S$4&lt;$Z94,"",IF(SUM($D94:R94)&lt;$AA94,IF('Control Panel'!$C$78=0,0,$AA94/'Control Panel'!$C$78),0))</f>
        <v/>
      </c>
      <c r="T94" s="234" t="str">
        <f>IF(T$4&lt;$Z94,"",IF(SUM($D94:S94)&lt;$AA94,IF('Control Panel'!$C$78=0,0,$AA94/'Control Panel'!$C$78),0))</f>
        <v/>
      </c>
      <c r="U94" s="234" t="str">
        <f>IF(U$4&lt;$Z94,"",IF(SUM($D94:T94)&lt;$AA94,IF('Control Panel'!$C$78=0,0,$AA94/'Control Panel'!$C$78),0))</f>
        <v/>
      </c>
      <c r="V94" s="234">
        <f>IF(V$4&lt;$Z94,"",IF(SUM($D94:U94)&lt;$AA94,IF('Control Panel'!$C$78=0,0,$AA94/'Control Panel'!$C$78),0))</f>
        <v>0</v>
      </c>
      <c r="W94" s="234">
        <f>IF(W$4&lt;$Z94,"",IF(SUM($D94:V94)&lt;$AA94,IF('Control Panel'!$C$78=0,0,$AA94/'Control Panel'!$C$78),0))</f>
        <v>0</v>
      </c>
      <c r="X94" s="235">
        <f>IF(X$4&lt;$Z94,"",IF(SUM($D94:W94)&lt;$AA94,IF('Control Panel'!$C$78=0,0,$AA94/'Control Panel'!$C$78),0))</f>
        <v>0</v>
      </c>
      <c r="Y94" s="143"/>
      <c r="Z94" s="232">
        <f t="shared" si="29"/>
        <v>18</v>
      </c>
      <c r="AA94" s="143">
        <v>0</v>
      </c>
    </row>
    <row r="95" spans="3:27" outlineLevel="1">
      <c r="C95" s="37"/>
      <c r="D95" s="37"/>
      <c r="E95" s="233" t="str">
        <f>IF(E$4&lt;$Z95,"",IF(SUM($D95:D95)&lt;$AA95,IF('Control Panel'!$C$78=0,0,$AA95/'Control Panel'!$C$78),0))</f>
        <v/>
      </c>
      <c r="F95" s="234" t="str">
        <f>IF(F$4&lt;$Z95,"",IF(SUM($D95:E95)&lt;$AA95,IF('Control Panel'!$C$78=0,0,$AA95/'Control Panel'!$C$78),0))</f>
        <v/>
      </c>
      <c r="G95" s="234" t="str">
        <f>IF(G$4&lt;$Z95,"",IF(SUM($D95:F95)&lt;$AA95,IF('Control Panel'!$C$78=0,0,$AA95/'Control Panel'!$C$78),0))</f>
        <v/>
      </c>
      <c r="H95" s="234" t="str">
        <f>IF(H$4&lt;$Z95,"",IF(SUM($D95:G95)&lt;$AA95,IF('Control Panel'!$C$78=0,0,$AA95/'Control Panel'!$C$78),0))</f>
        <v/>
      </c>
      <c r="I95" s="234" t="str">
        <f>IF(I$4&lt;$Z95,"",IF(SUM($D95:H95)&lt;$AA95,IF('Control Panel'!$C$78=0,0,$AA95/'Control Panel'!$C$78),0))</f>
        <v/>
      </c>
      <c r="J95" s="234" t="str">
        <f>IF(J$4&lt;$Z95,"",IF(SUM($D95:I95)&lt;$AA95,IF('Control Panel'!$C$78=0,0,$AA95/'Control Panel'!$C$78),0))</f>
        <v/>
      </c>
      <c r="K95" s="234" t="str">
        <f>IF(K$4&lt;$Z95,"",IF(SUM($D95:J95)&lt;$AA95,IF('Control Panel'!$C$78=0,0,$AA95/'Control Panel'!$C$78),0))</f>
        <v/>
      </c>
      <c r="L95" s="234" t="str">
        <f>IF(L$4&lt;$Z95,"",IF(SUM($D95:K95)&lt;$AA95,IF('Control Panel'!$C$78=0,0,$AA95/'Control Panel'!$C$78),0))</f>
        <v/>
      </c>
      <c r="M95" s="234" t="str">
        <f>IF(M$4&lt;$Z95,"",IF(SUM($D95:L95)&lt;$AA95,IF('Control Panel'!$C$78=0,0,$AA95/'Control Panel'!$C$78),0))</f>
        <v/>
      </c>
      <c r="N95" s="234" t="str">
        <f>IF(N$4&lt;$Z95,"",IF(SUM($D95:M95)&lt;$AA95,IF('Control Panel'!$C$78=0,0,$AA95/'Control Panel'!$C$78),0))</f>
        <v/>
      </c>
      <c r="O95" s="234" t="str">
        <f>IF(O$4&lt;$Z95,"",IF(SUM($D95:N95)&lt;$AA95,IF('Control Panel'!$C$78=0,0,$AA95/'Control Panel'!$C$78),0))</f>
        <v/>
      </c>
      <c r="P95" s="234" t="str">
        <f>IF(P$4&lt;$Z95,"",IF(SUM($D95:O95)&lt;$AA95,IF('Control Panel'!$C$78=0,0,$AA95/'Control Panel'!$C$78),0))</f>
        <v/>
      </c>
      <c r="Q95" s="234" t="str">
        <f>IF(Q$4&lt;$Z95,"",IF(SUM($D95:P95)&lt;$AA95,IF('Control Panel'!$C$78=0,0,$AA95/'Control Panel'!$C$78),0))</f>
        <v/>
      </c>
      <c r="R95" s="234" t="str">
        <f>IF(R$4&lt;$Z95,"",IF(SUM($D95:Q95)&lt;$AA95,IF('Control Panel'!$C$78=0,0,$AA95/'Control Panel'!$C$78),0))</f>
        <v/>
      </c>
      <c r="S95" s="234" t="str">
        <f>IF(S$4&lt;$Z95,"",IF(SUM($D95:R95)&lt;$AA95,IF('Control Panel'!$C$78=0,0,$AA95/'Control Panel'!$C$78),0))</f>
        <v/>
      </c>
      <c r="T95" s="234" t="str">
        <f>IF(T$4&lt;$Z95,"",IF(SUM($D95:S95)&lt;$AA95,IF('Control Panel'!$C$78=0,0,$AA95/'Control Panel'!$C$78),0))</f>
        <v/>
      </c>
      <c r="U95" s="234" t="str">
        <f>IF(U$4&lt;$Z95,"",IF(SUM($D95:T95)&lt;$AA95,IF('Control Panel'!$C$78=0,0,$AA95/'Control Panel'!$C$78),0))</f>
        <v/>
      </c>
      <c r="V95" s="234" t="str">
        <f>IF(V$4&lt;$Z95,"",IF(SUM($D95:U95)&lt;$AA95,IF('Control Panel'!$C$78=0,0,$AA95/'Control Panel'!$C$78),0))</f>
        <v/>
      </c>
      <c r="W95" s="234">
        <f>IF(W$4&lt;$Z95,"",IF(SUM($D95:V95)&lt;$AA95,IF('Control Panel'!$C$78=0,0,$AA95/'Control Panel'!$C$78),0))</f>
        <v>0</v>
      </c>
      <c r="X95" s="235">
        <f>IF(X$4&lt;$Z95,"",IF(SUM($D95:W95)&lt;$AA95,IF('Control Panel'!$C$78=0,0,$AA95/'Control Panel'!$C$78),0))</f>
        <v>0</v>
      </c>
      <c r="Y95" s="143"/>
      <c r="Z95" s="232">
        <f t="shared" si="29"/>
        <v>19</v>
      </c>
      <c r="AA95" s="143">
        <v>0</v>
      </c>
    </row>
    <row r="96" spans="3:27" outlineLevel="1">
      <c r="C96" s="37"/>
      <c r="D96" s="37"/>
      <c r="E96" s="237" t="str">
        <f>IF(E$4&lt;$Z96,"",IF(SUM($D96:D96)&lt;$AA96,IF('Control Panel'!$C$78=0,0,$AA96/'Control Panel'!$C$78),0))</f>
        <v/>
      </c>
      <c r="F96" s="158" t="str">
        <f>IF(F$4&lt;$Z96,"",IF(SUM($D96:E96)&lt;$AA96,IF('Control Panel'!$C$78=0,0,$AA96/'Control Panel'!$C$78),0))</f>
        <v/>
      </c>
      <c r="G96" s="158" t="str">
        <f>IF(G$4&lt;$Z96,"",IF(SUM($D96:F96)&lt;$AA96,IF('Control Panel'!$C$78=0,0,$AA96/'Control Panel'!$C$78),0))</f>
        <v/>
      </c>
      <c r="H96" s="158" t="str">
        <f>IF(H$4&lt;$Z96,"",IF(SUM($D96:G96)&lt;$AA96,IF('Control Panel'!$C$78=0,0,$AA96/'Control Panel'!$C$78),0))</f>
        <v/>
      </c>
      <c r="I96" s="158" t="str">
        <f>IF(I$4&lt;$Z96,"",IF(SUM($D96:H96)&lt;$AA96,IF('Control Panel'!$C$78=0,0,$AA96/'Control Panel'!$C$78),0))</f>
        <v/>
      </c>
      <c r="J96" s="158" t="str">
        <f>IF(J$4&lt;$Z96,"",IF(SUM($D96:I96)&lt;$AA96,IF('Control Panel'!$C$78=0,0,$AA96/'Control Panel'!$C$78),0))</f>
        <v/>
      </c>
      <c r="K96" s="158" t="str">
        <f>IF(K$4&lt;$Z96,"",IF(SUM($D96:J96)&lt;$AA96,IF('Control Panel'!$C$78=0,0,$AA96/'Control Panel'!$C$78),0))</f>
        <v/>
      </c>
      <c r="L96" s="158" t="str">
        <f>IF(L$4&lt;$Z96,"",IF(SUM($D96:K96)&lt;$AA96,IF('Control Panel'!$C$78=0,0,$AA96/'Control Panel'!$C$78),0))</f>
        <v/>
      </c>
      <c r="M96" s="158" t="str">
        <f>IF(M$4&lt;$Z96,"",IF(SUM($D96:L96)&lt;$AA96,IF('Control Panel'!$C$78=0,0,$AA96/'Control Panel'!$C$78),0))</f>
        <v/>
      </c>
      <c r="N96" s="158" t="str">
        <f>IF(N$4&lt;$Z96,"",IF(SUM($D96:M96)&lt;$AA96,IF('Control Panel'!$C$78=0,0,$AA96/'Control Panel'!$C$78),0))</f>
        <v/>
      </c>
      <c r="O96" s="158" t="str">
        <f>IF(O$4&lt;$Z96,"",IF(SUM($D96:N96)&lt;$AA96,IF('Control Panel'!$C$78=0,0,$AA96/'Control Panel'!$C$78),0))</f>
        <v/>
      </c>
      <c r="P96" s="158" t="str">
        <f>IF(P$4&lt;$Z96,"",IF(SUM($D96:O96)&lt;$AA96,IF('Control Panel'!$C$78=0,0,$AA96/'Control Panel'!$C$78),0))</f>
        <v/>
      </c>
      <c r="Q96" s="158" t="str">
        <f>IF(Q$4&lt;$Z96,"",IF(SUM($D96:P96)&lt;$AA96,IF('Control Panel'!$C$78=0,0,$AA96/'Control Panel'!$C$78),0))</f>
        <v/>
      </c>
      <c r="R96" s="158" t="str">
        <f>IF(R$4&lt;$Z96,"",IF(SUM($D96:Q96)&lt;$AA96,IF('Control Panel'!$C$78=0,0,$AA96/'Control Panel'!$C$78),0))</f>
        <v/>
      </c>
      <c r="S96" s="158" t="str">
        <f>IF(S$4&lt;$Z96,"",IF(SUM($D96:R96)&lt;$AA96,IF('Control Panel'!$C$78=0,0,$AA96/'Control Panel'!$C$78),0))</f>
        <v/>
      </c>
      <c r="T96" s="158" t="str">
        <f>IF(T$4&lt;$Z96,"",IF(SUM($D96:S96)&lt;$AA96,IF('Control Panel'!$C$78=0,0,$AA96/'Control Panel'!$C$78),0))</f>
        <v/>
      </c>
      <c r="U96" s="158" t="str">
        <f>IF(U$4&lt;$Z96,"",IF(SUM($D96:T96)&lt;$AA96,IF('Control Panel'!$C$78=0,0,$AA96/'Control Panel'!$C$78),0))</f>
        <v/>
      </c>
      <c r="V96" s="158" t="str">
        <f>IF(V$4&lt;$Z96,"",IF(SUM($D96:U96)&lt;$AA96,IF('Control Panel'!$C$78=0,0,$AA96/'Control Panel'!$C$78),0))</f>
        <v/>
      </c>
      <c r="W96" s="158" t="str">
        <f>IF(W$4&lt;$Z96,"",IF(SUM($D96:V96)&lt;$AA96,IF('Control Panel'!$C$78=0,0,$AA96/'Control Panel'!$C$78),0))</f>
        <v/>
      </c>
      <c r="X96" s="238">
        <f>IF(X$4&lt;$Z96,"",IF(SUM($D96:W96)&lt;$AA96,IF('Control Panel'!$C$78=0,0,$AA96/'Control Panel'!$C$78),0))</f>
        <v>0</v>
      </c>
      <c r="Y96" s="143"/>
      <c r="Z96" s="232">
        <f t="shared" si="29"/>
        <v>20</v>
      </c>
      <c r="AA96" s="143">
        <v>0</v>
      </c>
    </row>
    <row r="97" spans="2:38" outlineLevel="1">
      <c r="C97" s="37"/>
      <c r="D97" s="37"/>
      <c r="E97" s="236">
        <f>SUM(E77:E96)</f>
        <v>3312500</v>
      </c>
      <c r="F97" s="236">
        <f>SUM(F77:F96)</f>
        <v>6625000</v>
      </c>
      <c r="G97" s="236">
        <f t="shared" ref="G97:X97" si="30">SUM(G77:G96)</f>
        <v>13250000</v>
      </c>
      <c r="H97" s="236">
        <f t="shared" si="30"/>
        <v>13250000</v>
      </c>
      <c r="I97" s="236">
        <f t="shared" si="30"/>
        <v>13250000</v>
      </c>
      <c r="J97" s="236">
        <f t="shared" si="30"/>
        <v>13250000</v>
      </c>
      <c r="K97" s="236">
        <f t="shared" si="30"/>
        <v>9937500</v>
      </c>
      <c r="L97" s="236">
        <f t="shared" si="30"/>
        <v>6625000</v>
      </c>
      <c r="M97" s="236">
        <f t="shared" si="30"/>
        <v>0</v>
      </c>
      <c r="N97" s="236">
        <f t="shared" si="30"/>
        <v>0</v>
      </c>
      <c r="O97" s="236">
        <f t="shared" si="30"/>
        <v>0</v>
      </c>
      <c r="P97" s="236">
        <f t="shared" si="30"/>
        <v>0</v>
      </c>
      <c r="Q97" s="236">
        <f t="shared" si="30"/>
        <v>0</v>
      </c>
      <c r="R97" s="236">
        <f t="shared" si="30"/>
        <v>0</v>
      </c>
      <c r="S97" s="236">
        <f t="shared" si="30"/>
        <v>0</v>
      </c>
      <c r="T97" s="236">
        <f t="shared" si="30"/>
        <v>0</v>
      </c>
      <c r="U97" s="236">
        <f t="shared" si="30"/>
        <v>0</v>
      </c>
      <c r="V97" s="236">
        <f t="shared" si="30"/>
        <v>0</v>
      </c>
      <c r="W97" s="236">
        <f t="shared" si="30"/>
        <v>0</v>
      </c>
      <c r="X97" s="236">
        <f t="shared" si="30"/>
        <v>0</v>
      </c>
      <c r="Y97" s="143"/>
      <c r="Z97" s="143"/>
      <c r="AA97" s="143"/>
    </row>
    <row r="98" spans="2:38">
      <c r="C98" s="37"/>
      <c r="D98" s="37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</row>
    <row r="99" spans="2:38" s="222" customFormat="1">
      <c r="B99" s="223" t="s">
        <v>152</v>
      </c>
      <c r="C99" s="69"/>
      <c r="D99" s="69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8"/>
      <c r="AB99" s="115"/>
      <c r="AC99" s="115"/>
      <c r="AD99" s="115"/>
      <c r="AE99" s="115"/>
      <c r="AF99" s="115"/>
      <c r="AG99" s="115"/>
      <c r="AH99" s="115"/>
      <c r="AI99" s="115"/>
      <c r="AJ99" s="115"/>
      <c r="AK99" s="115"/>
      <c r="AL99" s="115"/>
    </row>
    <row r="100" spans="2:38" outlineLevel="1">
      <c r="B100" s="191" t="s">
        <v>153</v>
      </c>
      <c r="C100" s="37"/>
      <c r="D100" s="37"/>
      <c r="E100" s="143">
        <f>'Assumptions Processing'!E10</f>
        <v>25000000</v>
      </c>
      <c r="F100" s="143">
        <f>'Assumptions Processing'!F10</f>
        <v>25000000</v>
      </c>
      <c r="G100" s="143">
        <f>'Assumptions Processing'!G10</f>
        <v>50000000</v>
      </c>
      <c r="H100" s="143">
        <f>'Assumptions Processing'!H10</f>
        <v>0</v>
      </c>
      <c r="I100" s="143">
        <f>'Assumptions Processing'!I10</f>
        <v>0</v>
      </c>
      <c r="J100" s="143">
        <f>'Assumptions Processing'!J10</f>
        <v>0</v>
      </c>
      <c r="K100" s="143">
        <f>'Assumptions Processing'!K10</f>
        <v>0</v>
      </c>
      <c r="L100" s="143">
        <f>'Assumptions Processing'!L10</f>
        <v>0</v>
      </c>
      <c r="M100" s="143">
        <f>'Assumptions Processing'!M10</f>
        <v>0</v>
      </c>
      <c r="N100" s="143">
        <f>'Assumptions Processing'!N10</f>
        <v>0</v>
      </c>
      <c r="O100" s="143">
        <f>'Assumptions Processing'!O10</f>
        <v>0</v>
      </c>
      <c r="P100" s="143">
        <f>'Assumptions Processing'!P10</f>
        <v>0</v>
      </c>
      <c r="Q100" s="143">
        <f>'Assumptions Processing'!Q10</f>
        <v>0</v>
      </c>
      <c r="R100" s="143">
        <f>'Assumptions Processing'!R10</f>
        <v>0</v>
      </c>
      <c r="S100" s="143">
        <f>'Assumptions Processing'!S10</f>
        <v>0</v>
      </c>
      <c r="T100" s="143">
        <f>'Assumptions Processing'!T10</f>
        <v>0</v>
      </c>
      <c r="U100" s="143">
        <f>'Assumptions Processing'!U10</f>
        <v>0</v>
      </c>
      <c r="V100" s="143">
        <f>'Assumptions Processing'!V10</f>
        <v>0</v>
      </c>
      <c r="W100" s="143">
        <f>'Assumptions Processing'!W10</f>
        <v>0</v>
      </c>
      <c r="X100" s="143">
        <f>'Assumptions Processing'!X10</f>
        <v>0</v>
      </c>
      <c r="Y100" s="143"/>
      <c r="Z100" s="143"/>
      <c r="AA100" s="143"/>
    </row>
    <row r="101" spans="2:38" outlineLevel="1">
      <c r="B101" s="191" t="s">
        <v>154</v>
      </c>
      <c r="C101" s="37"/>
      <c r="D101" s="37"/>
      <c r="E101" s="143">
        <f>'Assumptions Processing'!E10*(1-$C$8)</f>
        <v>19875000</v>
      </c>
      <c r="F101" s="143">
        <f>'Assumptions Processing'!F10*(1-$C$8)</f>
        <v>19875000</v>
      </c>
      <c r="G101" s="143">
        <f>'Assumptions Processing'!G10*(1-$C$8)</f>
        <v>39750000</v>
      </c>
      <c r="H101" s="143">
        <f>'Assumptions Processing'!H10*(1-$C$8)</f>
        <v>0</v>
      </c>
      <c r="I101" s="143">
        <f>'Assumptions Processing'!I10*(1-$C$8)</f>
        <v>0</v>
      </c>
      <c r="J101" s="143">
        <f>'Assumptions Processing'!J10*(1-$C$8)</f>
        <v>0</v>
      </c>
      <c r="K101" s="143">
        <f>'Assumptions Processing'!K10*(1-$C$8)</f>
        <v>0</v>
      </c>
      <c r="L101" s="143">
        <f>'Assumptions Processing'!L10*(1-$C$8)</f>
        <v>0</v>
      </c>
      <c r="M101" s="143">
        <f>'Assumptions Processing'!M10*(1-$C$8)</f>
        <v>0</v>
      </c>
      <c r="N101" s="143">
        <f>'Assumptions Processing'!N10*(1-$C$8)</f>
        <v>0</v>
      </c>
      <c r="O101" s="143">
        <f>'Assumptions Processing'!O10*(1-$C$8)</f>
        <v>0</v>
      </c>
      <c r="P101" s="143">
        <f>'Assumptions Processing'!P10*(1-$C$8)</f>
        <v>0</v>
      </c>
      <c r="Q101" s="143">
        <f>'Assumptions Processing'!Q10*(1-$C$8)</f>
        <v>0</v>
      </c>
      <c r="R101" s="143">
        <f>'Assumptions Processing'!R10*(1-$C$8)</f>
        <v>0</v>
      </c>
      <c r="S101" s="143">
        <f>'Assumptions Processing'!S10*(1-$C$8)</f>
        <v>0</v>
      </c>
      <c r="T101" s="143">
        <f>'Assumptions Processing'!T10*(1-$C$8)</f>
        <v>0</v>
      </c>
      <c r="U101" s="143">
        <f>'Assumptions Processing'!U10*(1-$C$8)</f>
        <v>0</v>
      </c>
      <c r="V101" s="143">
        <f>'Assumptions Processing'!V10*(1-$C$8)</f>
        <v>0</v>
      </c>
      <c r="W101" s="143">
        <f>'Assumptions Processing'!W10*(1-$C$8)</f>
        <v>0</v>
      </c>
      <c r="X101" s="143">
        <f>'Assumptions Processing'!X10*(1-$C$8)</f>
        <v>0</v>
      </c>
      <c r="Y101" s="143"/>
      <c r="Z101" s="143"/>
      <c r="AA101" s="143" t="s">
        <v>144</v>
      </c>
    </row>
    <row r="102" spans="2:38" outlineLevel="1">
      <c r="B102" s="191"/>
      <c r="C102" s="37"/>
      <c r="D102" s="37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</row>
    <row r="103" spans="2:38" outlineLevel="1">
      <c r="B103" s="191"/>
      <c r="C103" s="37"/>
      <c r="D103" s="37"/>
      <c r="E103" s="225" t="s">
        <v>145</v>
      </c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</row>
    <row r="104" spans="2:38" outlineLevel="1">
      <c r="C104" s="37"/>
      <c r="D104" s="37"/>
      <c r="E104" s="229">
        <f>IF(E$4&lt;$Z104,"",IF(SUM($D104:D104)&lt;$AA104,IF('Control Panel'!$C$79=0,0,$AA104/'Control Panel'!$C$79),0))</f>
        <v>3312500</v>
      </c>
      <c r="F104" s="230">
        <f>IF(F$4&lt;$Z104,"",IF(SUM($D104:E104)&lt;$AA104,IF('Control Panel'!$C$79=0,0,$AA104/'Control Panel'!$C$79),0))</f>
        <v>3312500</v>
      </c>
      <c r="G104" s="230">
        <f>IF(G$4&lt;$Z104,"",IF(SUM($D104:F104)&lt;$AA104,IF('Control Panel'!$C$79=0,0,$AA104/'Control Panel'!$C$79),0))</f>
        <v>3312500</v>
      </c>
      <c r="H104" s="230">
        <f>IF(H$4&lt;$Z104,"",IF(SUM($D104:G104)&lt;$AA104,IF('Control Panel'!$C$79=0,0,$AA104/'Control Panel'!$C$79),0))</f>
        <v>3312500</v>
      </c>
      <c r="I104" s="230">
        <f>IF(I$4&lt;$Z104,"",IF(SUM($D104:H104)&lt;$AA104,IF('Control Panel'!$C$79=0,0,$AA104/'Control Panel'!$C$79),0))</f>
        <v>3312500</v>
      </c>
      <c r="J104" s="230">
        <f>IF(J$4&lt;$Z104,"",IF(SUM($D104:I104)&lt;$AA104,IF('Control Panel'!$C$79=0,0,$AA104/'Control Panel'!$C$79),0))</f>
        <v>3312500</v>
      </c>
      <c r="K104" s="230">
        <f>IF(K$4&lt;$Z104,"",IF(SUM($D104:J104)&lt;$AA104,IF('Control Panel'!$C$79=0,0,$AA104/'Control Panel'!$C$79),0))</f>
        <v>0</v>
      </c>
      <c r="L104" s="230">
        <f>IF(L$4&lt;$Z104,"",IF(SUM($D104:K104)&lt;$AA104,IF('Control Panel'!$C$79=0,0,$AA104/'Control Panel'!$C$79),0))</f>
        <v>0</v>
      </c>
      <c r="M104" s="230">
        <f>IF(M$4&lt;$Z104,"",IF(SUM($D104:L104)&lt;$AA104,IF('Control Panel'!$C$79=0,0,$AA104/'Control Panel'!$C$79),0))</f>
        <v>0</v>
      </c>
      <c r="N104" s="230">
        <f>IF(N$4&lt;$Z104,"",IF(SUM($D104:M104)&lt;$AA104,IF('Control Panel'!$C$79=0,0,$AA104/'Control Panel'!$C$79),0))</f>
        <v>0</v>
      </c>
      <c r="O104" s="230">
        <f>IF(O$4&lt;$Z104,"",IF(SUM($D104:N104)&lt;$AA104,IF('Control Panel'!$C$79=0,0,$AA104/'Control Panel'!$C$79),0))</f>
        <v>0</v>
      </c>
      <c r="P104" s="230">
        <f>IF(P$4&lt;$Z104,"",IF(SUM($D104:O104)&lt;$AA104,IF('Control Panel'!$C$79=0,0,$AA104/'Control Panel'!$C$79),0))</f>
        <v>0</v>
      </c>
      <c r="Q104" s="230">
        <f>IF(Q$4&lt;$Z104,"",IF(SUM($D104:P104)&lt;$AA104,IF('Control Panel'!$C$79=0,0,$AA104/'Control Panel'!$C$79),0))</f>
        <v>0</v>
      </c>
      <c r="R104" s="230">
        <f>IF(R$4&lt;$Z104,"",IF(SUM($D104:Q104)&lt;$AA104,IF('Control Panel'!$C$79=0,0,$AA104/'Control Panel'!$C$79),0))</f>
        <v>0</v>
      </c>
      <c r="S104" s="230">
        <f>IF(S$4&lt;$Z104,"",IF(SUM($D104:R104)&lt;$AA104,IF('Control Panel'!$C$79=0,0,$AA104/'Control Panel'!$C$79),0))</f>
        <v>0</v>
      </c>
      <c r="T104" s="230">
        <f>IF(T$4&lt;$Z104,"",IF(SUM($D104:S104)&lt;$AA104,IF('Control Panel'!$C$79=0,0,$AA104/'Control Panel'!$C$79),0))</f>
        <v>0</v>
      </c>
      <c r="U104" s="230">
        <f>IF(U$4&lt;$Z104,"",IF(SUM($D104:T104)&lt;$AA104,IF('Control Panel'!$C$79=0,0,$AA104/'Control Panel'!$C$79),0))</f>
        <v>0</v>
      </c>
      <c r="V104" s="230">
        <f>IF(V$4&lt;$Z104,"",IF(SUM($D104:U104)&lt;$AA104,IF('Control Panel'!$C$79=0,0,$AA104/'Control Panel'!$C$79),0))</f>
        <v>0</v>
      </c>
      <c r="W104" s="230">
        <f>IF(W$4&lt;$Z104,"",IF(SUM($D104:V104)&lt;$AA104,IF('Control Panel'!$C$79=0,0,$AA104/'Control Panel'!$C$79),0))</f>
        <v>0</v>
      </c>
      <c r="X104" s="231">
        <f>IF(X$4&lt;$Z104,"",IF(SUM($D104:W104)&lt;$AA104,IF('Control Panel'!$C$79=0,0,$AA104/'Control Panel'!$C$79),0))</f>
        <v>0</v>
      </c>
      <c r="Y104" s="143"/>
      <c r="Z104" s="232">
        <v>1</v>
      </c>
      <c r="AA104" s="143">
        <f t="array" ref="AA104:AA123">TRANSPOSE(E101:X101)</f>
        <v>19875000</v>
      </c>
    </row>
    <row r="105" spans="2:38" outlineLevel="1">
      <c r="C105" s="37"/>
      <c r="D105" s="37"/>
      <c r="E105" s="233" t="str">
        <f>IF(E$4&lt;$Z105,"",IF(SUM($D105:D105)&lt;$AA105,IF('Control Panel'!$C$79=0,0,$AA105/'Control Panel'!$C$79),0))</f>
        <v/>
      </c>
      <c r="F105" s="234">
        <f>IF(F$4&lt;$Z105,"",IF(SUM($D105:E105)&lt;$AA105,IF('Control Panel'!$C$79=0,0,$AA105/'Control Panel'!$C$79),0))</f>
        <v>3312500</v>
      </c>
      <c r="G105" s="234">
        <f>IF(G$4&lt;$Z105,"",IF(SUM($D105:F105)&lt;$AA105,IF('Control Panel'!$C$79=0,0,$AA105/'Control Panel'!$C$79),0))</f>
        <v>3312500</v>
      </c>
      <c r="H105" s="234">
        <f>IF(H$4&lt;$Z105,"",IF(SUM($D105:G105)&lt;$AA105,IF('Control Panel'!$C$79=0,0,$AA105/'Control Panel'!$C$79),0))</f>
        <v>3312500</v>
      </c>
      <c r="I105" s="234">
        <f>IF(I$4&lt;$Z105,"",IF(SUM($D105:H105)&lt;$AA105,IF('Control Panel'!$C$79=0,0,$AA105/'Control Panel'!$C$79),0))</f>
        <v>3312500</v>
      </c>
      <c r="J105" s="234">
        <f>IF(J$4&lt;$Z105,"",IF(SUM($D105:I105)&lt;$AA105,IF('Control Panel'!$C$79=0,0,$AA105/'Control Panel'!$C$79),0))</f>
        <v>3312500</v>
      </c>
      <c r="K105" s="234">
        <f>IF(K$4&lt;$Z105,"",IF(SUM($D105:J105)&lt;$AA105,IF('Control Panel'!$C$79=0,0,$AA105/'Control Panel'!$C$79),0))</f>
        <v>3312500</v>
      </c>
      <c r="L105" s="234">
        <f>IF(L$4&lt;$Z105,"",IF(SUM($D105:K105)&lt;$AA105,IF('Control Panel'!$C$79=0,0,$AA105/'Control Panel'!$C$79),0))</f>
        <v>0</v>
      </c>
      <c r="M105" s="234">
        <f>IF(M$4&lt;$Z105,"",IF(SUM($D105:L105)&lt;$AA105,IF('Control Panel'!$C$79=0,0,$AA105/'Control Panel'!$C$79),0))</f>
        <v>0</v>
      </c>
      <c r="N105" s="234">
        <f>IF(N$4&lt;$Z105,"",IF(SUM($D105:M105)&lt;$AA105,IF('Control Panel'!$C$79=0,0,$AA105/'Control Panel'!$C$79),0))</f>
        <v>0</v>
      </c>
      <c r="O105" s="234">
        <f>IF(O$4&lt;$Z105,"",IF(SUM($D105:N105)&lt;$AA105,IF('Control Panel'!$C$79=0,0,$AA105/'Control Panel'!$C$79),0))</f>
        <v>0</v>
      </c>
      <c r="P105" s="234">
        <f>IF(P$4&lt;$Z105,"",IF(SUM($D105:O105)&lt;$AA105,IF('Control Panel'!$C$79=0,0,$AA105/'Control Panel'!$C$79),0))</f>
        <v>0</v>
      </c>
      <c r="Q105" s="234">
        <f>IF(Q$4&lt;$Z105,"",IF(SUM($D105:P105)&lt;$AA105,IF('Control Panel'!$C$79=0,0,$AA105/'Control Panel'!$C$79),0))</f>
        <v>0</v>
      </c>
      <c r="R105" s="234">
        <f>IF(R$4&lt;$Z105,"",IF(SUM($D105:Q105)&lt;$AA105,IF('Control Panel'!$C$79=0,0,$AA105/'Control Panel'!$C$79),0))</f>
        <v>0</v>
      </c>
      <c r="S105" s="234">
        <f>IF(S$4&lt;$Z105,"",IF(SUM($D105:R105)&lt;$AA105,IF('Control Panel'!$C$79=0,0,$AA105/'Control Panel'!$C$79),0))</f>
        <v>0</v>
      </c>
      <c r="T105" s="234">
        <f>IF(T$4&lt;$Z105,"",IF(SUM($D105:S105)&lt;$AA105,IF('Control Panel'!$C$79=0,0,$AA105/'Control Panel'!$C$79),0))</f>
        <v>0</v>
      </c>
      <c r="U105" s="234">
        <f>IF(U$4&lt;$Z105,"",IF(SUM($D105:T105)&lt;$AA105,IF('Control Panel'!$C$79=0,0,$AA105/'Control Panel'!$C$79),0))</f>
        <v>0</v>
      </c>
      <c r="V105" s="234">
        <f>IF(V$4&lt;$Z105,"",IF(SUM($D105:U105)&lt;$AA105,IF('Control Panel'!$C$79=0,0,$AA105/'Control Panel'!$C$79),0))</f>
        <v>0</v>
      </c>
      <c r="W105" s="234">
        <f>IF(W$4&lt;$Z105,"",IF(SUM($D105:V105)&lt;$AA105,IF('Control Panel'!$C$79=0,0,$AA105/'Control Panel'!$C$79),0))</f>
        <v>0</v>
      </c>
      <c r="X105" s="235">
        <f>IF(X$4&lt;$Z105,"",IF(SUM($D105:W105)&lt;$AA105,IF('Control Panel'!$C$79=0,0,$AA105/'Control Panel'!$C$79),0))</f>
        <v>0</v>
      </c>
      <c r="Y105" s="143"/>
      <c r="Z105" s="232">
        <f>Z104+1</f>
        <v>2</v>
      </c>
      <c r="AA105" s="143">
        <v>19875000</v>
      </c>
    </row>
    <row r="106" spans="2:38" outlineLevel="1">
      <c r="C106" s="37"/>
      <c r="D106" s="37"/>
      <c r="E106" s="233" t="str">
        <f>IF(E$4&lt;$Z106,"",IF(SUM($D106:D106)&lt;$AA106,IF('Control Panel'!$C$79=0,0,$AA106/'Control Panel'!$C$79),0))</f>
        <v/>
      </c>
      <c r="F106" s="234" t="str">
        <f>IF(F$4&lt;$Z106,"",IF(SUM($D106:E106)&lt;$AA106,IF('Control Panel'!$C$79=0,0,$AA106/'Control Panel'!$C$79),0))</f>
        <v/>
      </c>
      <c r="G106" s="234">
        <f>IF(G$4&lt;$Z106,"",IF(SUM($D106:F106)&lt;$AA106,IF('Control Panel'!$C$79=0,0,$AA106/'Control Panel'!$C$79),0))</f>
        <v>6625000</v>
      </c>
      <c r="H106" s="234">
        <f>IF(H$4&lt;$Z106,"",IF(SUM($D106:G106)&lt;$AA106,IF('Control Panel'!$C$79=0,0,$AA106/'Control Panel'!$C$79),0))</f>
        <v>6625000</v>
      </c>
      <c r="I106" s="234">
        <f>IF(I$4&lt;$Z106,"",IF(SUM($D106:H106)&lt;$AA106,IF('Control Panel'!$C$79=0,0,$AA106/'Control Panel'!$C$79),0))</f>
        <v>6625000</v>
      </c>
      <c r="J106" s="234">
        <f>IF(J$4&lt;$Z106,"",IF(SUM($D106:I106)&lt;$AA106,IF('Control Panel'!$C$79=0,0,$AA106/'Control Panel'!$C$79),0))</f>
        <v>6625000</v>
      </c>
      <c r="K106" s="234">
        <f>IF(K$4&lt;$Z106,"",IF(SUM($D106:J106)&lt;$AA106,IF('Control Panel'!$C$79=0,0,$AA106/'Control Panel'!$C$79),0))</f>
        <v>6625000</v>
      </c>
      <c r="L106" s="234">
        <f>IF(L$4&lt;$Z106,"",IF(SUM($D106:K106)&lt;$AA106,IF('Control Panel'!$C$79=0,0,$AA106/'Control Panel'!$C$79),0))</f>
        <v>6625000</v>
      </c>
      <c r="M106" s="234">
        <f>IF(M$4&lt;$Z106,"",IF(SUM($D106:L106)&lt;$AA106,IF('Control Panel'!$C$79=0,0,$AA106/'Control Panel'!$C$79),0))</f>
        <v>0</v>
      </c>
      <c r="N106" s="234">
        <f>IF(N$4&lt;$Z106,"",IF(SUM($D106:M106)&lt;$AA106,IF('Control Panel'!$C$79=0,0,$AA106/'Control Panel'!$C$79),0))</f>
        <v>0</v>
      </c>
      <c r="O106" s="234">
        <f>IF(O$4&lt;$Z106,"",IF(SUM($D106:N106)&lt;$AA106,IF('Control Panel'!$C$79=0,0,$AA106/'Control Panel'!$C$79),0))</f>
        <v>0</v>
      </c>
      <c r="P106" s="234">
        <f>IF(P$4&lt;$Z106,"",IF(SUM($D106:O106)&lt;$AA106,IF('Control Panel'!$C$79=0,0,$AA106/'Control Panel'!$C$79),0))</f>
        <v>0</v>
      </c>
      <c r="Q106" s="234">
        <f>IF(Q$4&lt;$Z106,"",IF(SUM($D106:P106)&lt;$AA106,IF('Control Panel'!$C$79=0,0,$AA106/'Control Panel'!$C$79),0))</f>
        <v>0</v>
      </c>
      <c r="R106" s="234">
        <f>IF(R$4&lt;$Z106,"",IF(SUM($D106:Q106)&lt;$AA106,IF('Control Panel'!$C$79=0,0,$AA106/'Control Panel'!$C$79),0))</f>
        <v>0</v>
      </c>
      <c r="S106" s="234">
        <f>IF(S$4&lt;$Z106,"",IF(SUM($D106:R106)&lt;$AA106,IF('Control Panel'!$C$79=0,0,$AA106/'Control Panel'!$C$79),0))</f>
        <v>0</v>
      </c>
      <c r="T106" s="234">
        <f>IF(T$4&lt;$Z106,"",IF(SUM($D106:S106)&lt;$AA106,IF('Control Panel'!$C$79=0,0,$AA106/'Control Panel'!$C$79),0))</f>
        <v>0</v>
      </c>
      <c r="U106" s="234">
        <f>IF(U$4&lt;$Z106,"",IF(SUM($D106:T106)&lt;$AA106,IF('Control Panel'!$C$79=0,0,$AA106/'Control Panel'!$C$79),0))</f>
        <v>0</v>
      </c>
      <c r="V106" s="234">
        <f>IF(V$4&lt;$Z106,"",IF(SUM($D106:U106)&lt;$AA106,IF('Control Panel'!$C$79=0,0,$AA106/'Control Panel'!$C$79),0))</f>
        <v>0</v>
      </c>
      <c r="W106" s="234">
        <f>IF(W$4&lt;$Z106,"",IF(SUM($D106:V106)&lt;$AA106,IF('Control Panel'!$C$79=0,0,$AA106/'Control Panel'!$C$79),0))</f>
        <v>0</v>
      </c>
      <c r="X106" s="235">
        <f>IF(X$4&lt;$Z106,"",IF(SUM($D106:W106)&lt;$AA106,IF('Control Panel'!$C$79=0,0,$AA106/'Control Panel'!$C$79),0))</f>
        <v>0</v>
      </c>
      <c r="Y106" s="143"/>
      <c r="Z106" s="232">
        <f t="shared" ref="Z106:Z123" si="31">Z105+1</f>
        <v>3</v>
      </c>
      <c r="AA106" s="143">
        <v>39750000</v>
      </c>
    </row>
    <row r="107" spans="2:38" outlineLevel="1">
      <c r="C107" s="37"/>
      <c r="D107" s="37"/>
      <c r="E107" s="233" t="str">
        <f>IF(E$4&lt;$Z107,"",IF(SUM($D107:D107)&lt;$AA107,IF('Control Panel'!$C$79=0,0,$AA107/'Control Panel'!$C$79),0))</f>
        <v/>
      </c>
      <c r="F107" s="234" t="str">
        <f>IF(F$4&lt;$Z107,"",IF(SUM($D107:E107)&lt;$AA107,IF('Control Panel'!$C$79=0,0,$AA107/'Control Panel'!$C$79),0))</f>
        <v/>
      </c>
      <c r="G107" s="234" t="str">
        <f>IF(G$4&lt;$Z107,"",IF(SUM($D107:F107)&lt;$AA107,IF('Control Panel'!$C$79=0,0,$AA107/'Control Panel'!$C$79),0))</f>
        <v/>
      </c>
      <c r="H107" s="234">
        <f>IF(H$4&lt;$Z107,"",IF(SUM($D107:G107)&lt;$AA107,IF('Control Panel'!$C$79=0,0,$AA107/'Control Panel'!$C$79),0))</f>
        <v>0</v>
      </c>
      <c r="I107" s="234">
        <f>IF(I$4&lt;$Z107,"",IF(SUM($D107:H107)&lt;$AA107,IF('Control Panel'!$C$79=0,0,$AA107/'Control Panel'!$C$79),0))</f>
        <v>0</v>
      </c>
      <c r="J107" s="234">
        <f>IF(J$4&lt;$Z107,"",IF(SUM($D107:I107)&lt;$AA107,IF('Control Panel'!$C$79=0,0,$AA107/'Control Panel'!$C$79),0))</f>
        <v>0</v>
      </c>
      <c r="K107" s="234">
        <f>IF(K$4&lt;$Z107,"",IF(SUM($D107:J107)&lt;$AA107,IF('Control Panel'!$C$79=0,0,$AA107/'Control Panel'!$C$79),0))</f>
        <v>0</v>
      </c>
      <c r="L107" s="234">
        <f>IF(L$4&lt;$Z107,"",IF(SUM($D107:K107)&lt;$AA107,IF('Control Panel'!$C$79=0,0,$AA107/'Control Panel'!$C$79),0))</f>
        <v>0</v>
      </c>
      <c r="M107" s="234">
        <f>IF(M$4&lt;$Z107,"",IF(SUM($D107:L107)&lt;$AA107,IF('Control Panel'!$C$79=0,0,$AA107/'Control Panel'!$C$79),0))</f>
        <v>0</v>
      </c>
      <c r="N107" s="234">
        <f>IF(N$4&lt;$Z107,"",IF(SUM($D107:M107)&lt;$AA107,IF('Control Panel'!$C$79=0,0,$AA107/'Control Panel'!$C$79),0))</f>
        <v>0</v>
      </c>
      <c r="O107" s="234">
        <f>IF(O$4&lt;$Z107,"",IF(SUM($D107:N107)&lt;$AA107,IF('Control Panel'!$C$79=0,0,$AA107/'Control Panel'!$C$79),0))</f>
        <v>0</v>
      </c>
      <c r="P107" s="234">
        <f>IF(P$4&lt;$Z107,"",IF(SUM($D107:O107)&lt;$AA107,IF('Control Panel'!$C$79=0,0,$AA107/'Control Panel'!$C$79),0))</f>
        <v>0</v>
      </c>
      <c r="Q107" s="234">
        <f>IF(Q$4&lt;$Z107,"",IF(SUM($D107:P107)&lt;$AA107,IF('Control Panel'!$C$79=0,0,$AA107/'Control Panel'!$C$79),0))</f>
        <v>0</v>
      </c>
      <c r="R107" s="234">
        <f>IF(R$4&lt;$Z107,"",IF(SUM($D107:Q107)&lt;$AA107,IF('Control Panel'!$C$79=0,0,$AA107/'Control Panel'!$C$79),0))</f>
        <v>0</v>
      </c>
      <c r="S107" s="234">
        <f>IF(S$4&lt;$Z107,"",IF(SUM($D107:R107)&lt;$AA107,IF('Control Panel'!$C$79=0,0,$AA107/'Control Panel'!$C$79),0))</f>
        <v>0</v>
      </c>
      <c r="T107" s="234">
        <f>IF(T$4&lt;$Z107,"",IF(SUM($D107:S107)&lt;$AA107,IF('Control Panel'!$C$79=0,0,$AA107/'Control Panel'!$C$79),0))</f>
        <v>0</v>
      </c>
      <c r="U107" s="234">
        <f>IF(U$4&lt;$Z107,"",IF(SUM($D107:T107)&lt;$AA107,IF('Control Panel'!$C$79=0,0,$AA107/'Control Panel'!$C$79),0))</f>
        <v>0</v>
      </c>
      <c r="V107" s="234">
        <f>IF(V$4&lt;$Z107,"",IF(SUM($D107:U107)&lt;$AA107,IF('Control Panel'!$C$79=0,0,$AA107/'Control Panel'!$C$79),0))</f>
        <v>0</v>
      </c>
      <c r="W107" s="234">
        <f>IF(W$4&lt;$Z107,"",IF(SUM($D107:V107)&lt;$AA107,IF('Control Panel'!$C$79=0,0,$AA107/'Control Panel'!$C$79),0))</f>
        <v>0</v>
      </c>
      <c r="X107" s="235">
        <f>IF(X$4&lt;$Z107,"",IF(SUM($D107:W107)&lt;$AA107,IF('Control Panel'!$C$79=0,0,$AA107/'Control Panel'!$C$79),0))</f>
        <v>0</v>
      </c>
      <c r="Y107" s="143"/>
      <c r="Z107" s="232">
        <f t="shared" si="31"/>
        <v>4</v>
      </c>
      <c r="AA107" s="143">
        <v>0</v>
      </c>
    </row>
    <row r="108" spans="2:38" outlineLevel="1">
      <c r="C108" s="37"/>
      <c r="D108" s="37"/>
      <c r="E108" s="233" t="str">
        <f>IF(E$4&lt;$Z108,"",IF(SUM($D108:D108)&lt;$AA108,IF('Control Panel'!$C$79=0,0,$AA108/'Control Panel'!$C$79),0))</f>
        <v/>
      </c>
      <c r="F108" s="234" t="str">
        <f>IF(F$4&lt;$Z108,"",IF(SUM($D108:E108)&lt;$AA108,IF('Control Panel'!$C$79=0,0,$AA108/'Control Panel'!$C$79),0))</f>
        <v/>
      </c>
      <c r="G108" s="234" t="str">
        <f>IF(G$4&lt;$Z108,"",IF(SUM($D108:F108)&lt;$AA108,IF('Control Panel'!$C$79=0,0,$AA108/'Control Panel'!$C$79),0))</f>
        <v/>
      </c>
      <c r="H108" s="234" t="str">
        <f>IF(H$4&lt;$Z108,"",IF(SUM($D108:G108)&lt;$AA108,IF('Control Panel'!$C$79=0,0,$AA108/'Control Panel'!$C$79),0))</f>
        <v/>
      </c>
      <c r="I108" s="234">
        <f>IF(I$4&lt;$Z108,"",IF(SUM($D108:H108)&lt;$AA108,IF('Control Panel'!$C$79=0,0,$AA108/'Control Panel'!$C$79),0))</f>
        <v>0</v>
      </c>
      <c r="J108" s="234">
        <f>IF(J$4&lt;$Z108,"",IF(SUM($D108:I108)&lt;$AA108,IF('Control Panel'!$C$79=0,0,$AA108/'Control Panel'!$C$79),0))</f>
        <v>0</v>
      </c>
      <c r="K108" s="234">
        <f>IF(K$4&lt;$Z108,"",IF(SUM($D108:J108)&lt;$AA108,IF('Control Panel'!$C$79=0,0,$AA108/'Control Panel'!$C$79),0))</f>
        <v>0</v>
      </c>
      <c r="L108" s="234">
        <f>IF(L$4&lt;$Z108,"",IF(SUM($D108:K108)&lt;$AA108,IF('Control Panel'!$C$79=0,0,$AA108/'Control Panel'!$C$79),0))</f>
        <v>0</v>
      </c>
      <c r="M108" s="234">
        <f>IF(M$4&lt;$Z108,"",IF(SUM($D108:L108)&lt;$AA108,IF('Control Panel'!$C$79=0,0,$AA108/'Control Panel'!$C$79),0))</f>
        <v>0</v>
      </c>
      <c r="N108" s="234">
        <f>IF(N$4&lt;$Z108,"",IF(SUM($D108:M108)&lt;$AA108,IF('Control Panel'!$C$79=0,0,$AA108/'Control Panel'!$C$79),0))</f>
        <v>0</v>
      </c>
      <c r="O108" s="234">
        <f>IF(O$4&lt;$Z108,"",IF(SUM($D108:N108)&lt;$AA108,IF('Control Panel'!$C$79=0,0,$AA108/'Control Panel'!$C$79),0))</f>
        <v>0</v>
      </c>
      <c r="P108" s="234">
        <f>IF(P$4&lt;$Z108,"",IF(SUM($D108:O108)&lt;$AA108,IF('Control Panel'!$C$79=0,0,$AA108/'Control Panel'!$C$79),0))</f>
        <v>0</v>
      </c>
      <c r="Q108" s="234">
        <f>IF(Q$4&lt;$Z108,"",IF(SUM($D108:P108)&lt;$AA108,IF('Control Panel'!$C$79=0,0,$AA108/'Control Panel'!$C$79),0))</f>
        <v>0</v>
      </c>
      <c r="R108" s="234">
        <f>IF(R$4&lt;$Z108,"",IF(SUM($D108:Q108)&lt;$AA108,IF('Control Panel'!$C$79=0,0,$AA108/'Control Panel'!$C$79),0))</f>
        <v>0</v>
      </c>
      <c r="S108" s="234">
        <f>IF(S$4&lt;$Z108,"",IF(SUM($D108:R108)&lt;$AA108,IF('Control Panel'!$C$79=0,0,$AA108/'Control Panel'!$C$79),0))</f>
        <v>0</v>
      </c>
      <c r="T108" s="234">
        <f>IF(T$4&lt;$Z108,"",IF(SUM($D108:S108)&lt;$AA108,IF('Control Panel'!$C$79=0,0,$AA108/'Control Panel'!$C$79),0))</f>
        <v>0</v>
      </c>
      <c r="U108" s="234">
        <f>IF(U$4&lt;$Z108,"",IF(SUM($D108:T108)&lt;$AA108,IF('Control Panel'!$C$79=0,0,$AA108/'Control Panel'!$C$79),0))</f>
        <v>0</v>
      </c>
      <c r="V108" s="234">
        <f>IF(V$4&lt;$Z108,"",IF(SUM($D108:U108)&lt;$AA108,IF('Control Panel'!$C$79=0,0,$AA108/'Control Panel'!$C$79),0))</f>
        <v>0</v>
      </c>
      <c r="W108" s="234">
        <f>IF(W$4&lt;$Z108,"",IF(SUM($D108:V108)&lt;$AA108,IF('Control Panel'!$C$79=0,0,$AA108/'Control Panel'!$C$79),0))</f>
        <v>0</v>
      </c>
      <c r="X108" s="235">
        <f>IF(X$4&lt;$Z108,"",IF(SUM($D108:W108)&lt;$AA108,IF('Control Panel'!$C$79=0,0,$AA108/'Control Panel'!$C$79),0))</f>
        <v>0</v>
      </c>
      <c r="Y108" s="143"/>
      <c r="Z108" s="232">
        <f t="shared" si="31"/>
        <v>5</v>
      </c>
      <c r="AA108" s="143">
        <v>0</v>
      </c>
    </row>
    <row r="109" spans="2:38" outlineLevel="1">
      <c r="C109" s="37"/>
      <c r="D109" s="37"/>
      <c r="E109" s="233" t="str">
        <f>IF(E$4&lt;$Z109,"",IF(SUM($D109:D109)&lt;$AA109,IF('Control Panel'!$C$79=0,0,$AA109/'Control Panel'!$C$79),0))</f>
        <v/>
      </c>
      <c r="F109" s="234" t="str">
        <f>IF(F$4&lt;$Z109,"",IF(SUM($D109:E109)&lt;$AA109,IF('Control Panel'!$C$79=0,0,$AA109/'Control Panel'!$C$79),0))</f>
        <v/>
      </c>
      <c r="G109" s="234" t="str">
        <f>IF(G$4&lt;$Z109,"",IF(SUM($D109:F109)&lt;$AA109,IF('Control Panel'!$C$79=0,0,$AA109/'Control Panel'!$C$79),0))</f>
        <v/>
      </c>
      <c r="H109" s="234" t="str">
        <f>IF(H$4&lt;$Z109,"",IF(SUM($D109:G109)&lt;$AA109,IF('Control Panel'!$C$79=0,0,$AA109/'Control Panel'!$C$79),0))</f>
        <v/>
      </c>
      <c r="I109" s="234" t="str">
        <f>IF(I$4&lt;$Z109,"",IF(SUM($D109:H109)&lt;$AA109,IF('Control Panel'!$C$79=0,0,$AA109/'Control Panel'!$C$79),0))</f>
        <v/>
      </c>
      <c r="J109" s="234">
        <f>IF(J$4&lt;$Z109,"",IF(SUM($D109:I109)&lt;$AA109,IF('Control Panel'!$C$79=0,0,$AA109/'Control Panel'!$C$79),0))</f>
        <v>0</v>
      </c>
      <c r="K109" s="234">
        <f>IF(K$4&lt;$Z109,"",IF(SUM($D109:J109)&lt;$AA109,IF('Control Panel'!$C$79=0,0,$AA109/'Control Panel'!$C$79),0))</f>
        <v>0</v>
      </c>
      <c r="L109" s="234">
        <f>IF(L$4&lt;$Z109,"",IF(SUM($D109:K109)&lt;$AA109,IF('Control Panel'!$C$79=0,0,$AA109/'Control Panel'!$C$79),0))</f>
        <v>0</v>
      </c>
      <c r="M109" s="234">
        <f>IF(M$4&lt;$Z109,"",IF(SUM($D109:L109)&lt;$AA109,IF('Control Panel'!$C$79=0,0,$AA109/'Control Panel'!$C$79),0))</f>
        <v>0</v>
      </c>
      <c r="N109" s="234">
        <f>IF(N$4&lt;$Z109,"",IF(SUM($D109:M109)&lt;$AA109,IF('Control Panel'!$C$79=0,0,$AA109/'Control Panel'!$C$79),0))</f>
        <v>0</v>
      </c>
      <c r="O109" s="234">
        <f>IF(O$4&lt;$Z109,"",IF(SUM($D109:N109)&lt;$AA109,IF('Control Panel'!$C$79=0,0,$AA109/'Control Panel'!$C$79),0))</f>
        <v>0</v>
      </c>
      <c r="P109" s="234">
        <f>IF(P$4&lt;$Z109,"",IF(SUM($D109:O109)&lt;$AA109,IF('Control Panel'!$C$79=0,0,$AA109/'Control Panel'!$C$79),0))</f>
        <v>0</v>
      </c>
      <c r="Q109" s="234">
        <f>IF(Q$4&lt;$Z109,"",IF(SUM($D109:P109)&lt;$AA109,IF('Control Panel'!$C$79=0,0,$AA109/'Control Panel'!$C$79),0))</f>
        <v>0</v>
      </c>
      <c r="R109" s="234">
        <f>IF(R$4&lt;$Z109,"",IF(SUM($D109:Q109)&lt;$AA109,IF('Control Panel'!$C$79=0,0,$AA109/'Control Panel'!$C$79),0))</f>
        <v>0</v>
      </c>
      <c r="S109" s="234">
        <f>IF(S$4&lt;$Z109,"",IF(SUM($D109:R109)&lt;$AA109,IF('Control Panel'!$C$79=0,0,$AA109/'Control Panel'!$C$79),0))</f>
        <v>0</v>
      </c>
      <c r="T109" s="234">
        <f>IF(T$4&lt;$Z109,"",IF(SUM($D109:S109)&lt;$AA109,IF('Control Panel'!$C$79=0,0,$AA109/'Control Panel'!$C$79),0))</f>
        <v>0</v>
      </c>
      <c r="U109" s="234">
        <f>IF(U$4&lt;$Z109,"",IF(SUM($D109:T109)&lt;$AA109,IF('Control Panel'!$C$79=0,0,$AA109/'Control Panel'!$C$79),0))</f>
        <v>0</v>
      </c>
      <c r="V109" s="234">
        <f>IF(V$4&lt;$Z109,"",IF(SUM($D109:U109)&lt;$AA109,IF('Control Panel'!$C$79=0,0,$AA109/'Control Panel'!$C$79),0))</f>
        <v>0</v>
      </c>
      <c r="W109" s="234">
        <f>IF(W$4&lt;$Z109,"",IF(SUM($D109:V109)&lt;$AA109,IF('Control Panel'!$C$79=0,0,$AA109/'Control Panel'!$C$79),0))</f>
        <v>0</v>
      </c>
      <c r="X109" s="235">
        <f>IF(X$4&lt;$Z109,"",IF(SUM($D109:W109)&lt;$AA109,IF('Control Panel'!$C$79=0,0,$AA109/'Control Panel'!$C$79),0))</f>
        <v>0</v>
      </c>
      <c r="Y109" s="143"/>
      <c r="Z109" s="232">
        <f t="shared" si="31"/>
        <v>6</v>
      </c>
      <c r="AA109" s="143">
        <v>0</v>
      </c>
    </row>
    <row r="110" spans="2:38" outlineLevel="1">
      <c r="C110" s="37"/>
      <c r="D110" s="37"/>
      <c r="E110" s="233" t="str">
        <f>IF(E$4&lt;$Z110,"",IF(SUM($D110:D110)&lt;$AA110,IF('Control Panel'!$C$79=0,0,$AA110/'Control Panel'!$C$79),0))</f>
        <v/>
      </c>
      <c r="F110" s="234" t="str">
        <f>IF(F$4&lt;$Z110,"",IF(SUM($D110:E110)&lt;$AA110,IF('Control Panel'!$C$79=0,0,$AA110/'Control Panel'!$C$79),0))</f>
        <v/>
      </c>
      <c r="G110" s="234" t="str">
        <f>IF(G$4&lt;$Z110,"",IF(SUM($D110:F110)&lt;$AA110,IF('Control Panel'!$C$79=0,0,$AA110/'Control Panel'!$C$79),0))</f>
        <v/>
      </c>
      <c r="H110" s="234" t="str">
        <f>IF(H$4&lt;$Z110,"",IF(SUM($D110:G110)&lt;$AA110,IF('Control Panel'!$C$79=0,0,$AA110/'Control Panel'!$C$79),0))</f>
        <v/>
      </c>
      <c r="I110" s="234" t="str">
        <f>IF(I$4&lt;$Z110,"",IF(SUM($D110:H110)&lt;$AA110,IF('Control Panel'!$C$79=0,0,$AA110/'Control Panel'!$C$79),0))</f>
        <v/>
      </c>
      <c r="J110" s="234" t="str">
        <f>IF(J$4&lt;$Z110,"",IF(SUM($D110:I110)&lt;$AA110,IF('Control Panel'!$C$79=0,0,$AA110/'Control Panel'!$C$79),0))</f>
        <v/>
      </c>
      <c r="K110" s="234">
        <f>IF(K$4&lt;$Z110,"",IF(SUM($D110:J110)&lt;$AA110,IF('Control Panel'!$C$79=0,0,$AA110/'Control Panel'!$C$79),0))</f>
        <v>0</v>
      </c>
      <c r="L110" s="234">
        <f>IF(L$4&lt;$Z110,"",IF(SUM($D110:K110)&lt;$AA110,IF('Control Panel'!$C$79=0,0,$AA110/'Control Panel'!$C$79),0))</f>
        <v>0</v>
      </c>
      <c r="M110" s="234">
        <f>IF(M$4&lt;$Z110,"",IF(SUM($D110:L110)&lt;$AA110,IF('Control Panel'!$C$79=0,0,$AA110/'Control Panel'!$C$79),0))</f>
        <v>0</v>
      </c>
      <c r="N110" s="234">
        <f>IF(N$4&lt;$Z110,"",IF(SUM($D110:M110)&lt;$AA110,IF('Control Panel'!$C$79=0,0,$AA110/'Control Panel'!$C$79),0))</f>
        <v>0</v>
      </c>
      <c r="O110" s="234">
        <f>IF(O$4&lt;$Z110,"",IF(SUM($D110:N110)&lt;$AA110,IF('Control Panel'!$C$79=0,0,$AA110/'Control Panel'!$C$79),0))</f>
        <v>0</v>
      </c>
      <c r="P110" s="234">
        <f>IF(P$4&lt;$Z110,"",IF(SUM($D110:O110)&lt;$AA110,IF('Control Panel'!$C$79=0,0,$AA110/'Control Panel'!$C$79),0))</f>
        <v>0</v>
      </c>
      <c r="Q110" s="234">
        <f>IF(Q$4&lt;$Z110,"",IF(SUM($D110:P110)&lt;$AA110,IF('Control Panel'!$C$79=0,0,$AA110/'Control Panel'!$C$79),0))</f>
        <v>0</v>
      </c>
      <c r="R110" s="234">
        <f>IF(R$4&lt;$Z110,"",IF(SUM($D110:Q110)&lt;$AA110,IF('Control Panel'!$C$79=0,0,$AA110/'Control Panel'!$C$79),0))</f>
        <v>0</v>
      </c>
      <c r="S110" s="234">
        <f>IF(S$4&lt;$Z110,"",IF(SUM($D110:R110)&lt;$AA110,IF('Control Panel'!$C$79=0,0,$AA110/'Control Panel'!$C$79),0))</f>
        <v>0</v>
      </c>
      <c r="T110" s="234">
        <f>IF(T$4&lt;$Z110,"",IF(SUM($D110:S110)&lt;$AA110,IF('Control Panel'!$C$79=0,0,$AA110/'Control Panel'!$C$79),0))</f>
        <v>0</v>
      </c>
      <c r="U110" s="234">
        <f>IF(U$4&lt;$Z110,"",IF(SUM($D110:T110)&lt;$AA110,IF('Control Panel'!$C$79=0,0,$AA110/'Control Panel'!$C$79),0))</f>
        <v>0</v>
      </c>
      <c r="V110" s="234">
        <f>IF(V$4&lt;$Z110,"",IF(SUM($D110:U110)&lt;$AA110,IF('Control Panel'!$C$79=0,0,$AA110/'Control Panel'!$C$79),0))</f>
        <v>0</v>
      </c>
      <c r="W110" s="234">
        <f>IF(W$4&lt;$Z110,"",IF(SUM($D110:V110)&lt;$AA110,IF('Control Panel'!$C$79=0,0,$AA110/'Control Panel'!$C$79),0))</f>
        <v>0</v>
      </c>
      <c r="X110" s="235">
        <f>IF(X$4&lt;$Z110,"",IF(SUM($D110:W110)&lt;$AA110,IF('Control Panel'!$C$79=0,0,$AA110/'Control Panel'!$C$79),0))</f>
        <v>0</v>
      </c>
      <c r="Y110" s="143"/>
      <c r="Z110" s="232">
        <f t="shared" si="31"/>
        <v>7</v>
      </c>
      <c r="AA110" s="143">
        <v>0</v>
      </c>
    </row>
    <row r="111" spans="2:38" outlineLevel="1">
      <c r="C111" s="37"/>
      <c r="D111" s="37"/>
      <c r="E111" s="233" t="str">
        <f>IF(E$4&lt;$Z111,"",IF(SUM($D111:D111)&lt;$AA111,IF('Control Panel'!$C$79=0,0,$AA111/'Control Panel'!$C$79),0))</f>
        <v/>
      </c>
      <c r="F111" s="234" t="str">
        <f>IF(F$4&lt;$Z111,"",IF(SUM($D111:E111)&lt;$AA111,IF('Control Panel'!$C$79=0,0,$AA111/'Control Panel'!$C$79),0))</f>
        <v/>
      </c>
      <c r="G111" s="234" t="str">
        <f>IF(G$4&lt;$Z111,"",IF(SUM($D111:F111)&lt;$AA111,IF('Control Panel'!$C$79=0,0,$AA111/'Control Panel'!$C$79),0))</f>
        <v/>
      </c>
      <c r="H111" s="234" t="str">
        <f>IF(H$4&lt;$Z111,"",IF(SUM($D111:G111)&lt;$AA111,IF('Control Panel'!$C$79=0,0,$AA111/'Control Panel'!$C$79),0))</f>
        <v/>
      </c>
      <c r="I111" s="234" t="str">
        <f>IF(I$4&lt;$Z111,"",IF(SUM($D111:H111)&lt;$AA111,IF('Control Panel'!$C$79=0,0,$AA111/'Control Panel'!$C$79),0))</f>
        <v/>
      </c>
      <c r="J111" s="234" t="str">
        <f>IF(J$4&lt;$Z111,"",IF(SUM($D111:I111)&lt;$AA111,IF('Control Panel'!$C$79=0,0,$AA111/'Control Panel'!$C$79),0))</f>
        <v/>
      </c>
      <c r="K111" s="234" t="str">
        <f>IF(K$4&lt;$Z111,"",IF(SUM($D111:J111)&lt;$AA111,IF('Control Panel'!$C$79=0,0,$AA111/'Control Panel'!$C$79),0))</f>
        <v/>
      </c>
      <c r="L111" s="234">
        <f>IF(L$4&lt;$Z111,"",IF(SUM($D111:K111)&lt;$AA111,IF('Control Panel'!$C$79=0,0,$AA111/'Control Panel'!$C$79),0))</f>
        <v>0</v>
      </c>
      <c r="M111" s="234">
        <f>IF(M$4&lt;$Z111,"",IF(SUM($D111:L111)&lt;$AA111,IF('Control Panel'!$C$79=0,0,$AA111/'Control Panel'!$C$79),0))</f>
        <v>0</v>
      </c>
      <c r="N111" s="234">
        <f>IF(N$4&lt;$Z111,"",IF(SUM($D111:M111)&lt;$AA111,IF('Control Panel'!$C$79=0,0,$AA111/'Control Panel'!$C$79),0))</f>
        <v>0</v>
      </c>
      <c r="O111" s="234">
        <f>IF(O$4&lt;$Z111,"",IF(SUM($D111:N111)&lt;$AA111,IF('Control Panel'!$C$79=0,0,$AA111/'Control Panel'!$C$79),0))</f>
        <v>0</v>
      </c>
      <c r="P111" s="234">
        <f>IF(P$4&lt;$Z111,"",IF(SUM($D111:O111)&lt;$AA111,IF('Control Panel'!$C$79=0,0,$AA111/'Control Panel'!$C$79),0))</f>
        <v>0</v>
      </c>
      <c r="Q111" s="234">
        <f>IF(Q$4&lt;$Z111,"",IF(SUM($D111:P111)&lt;$AA111,IF('Control Panel'!$C$79=0,0,$AA111/'Control Panel'!$C$79),0))</f>
        <v>0</v>
      </c>
      <c r="R111" s="234">
        <f>IF(R$4&lt;$Z111,"",IF(SUM($D111:Q111)&lt;$AA111,IF('Control Panel'!$C$79=0,0,$AA111/'Control Panel'!$C$79),0))</f>
        <v>0</v>
      </c>
      <c r="S111" s="234">
        <f>IF(S$4&lt;$Z111,"",IF(SUM($D111:R111)&lt;$AA111,IF('Control Panel'!$C$79=0,0,$AA111/'Control Panel'!$C$79),0))</f>
        <v>0</v>
      </c>
      <c r="T111" s="234">
        <f>IF(T$4&lt;$Z111,"",IF(SUM($D111:S111)&lt;$AA111,IF('Control Panel'!$C$79=0,0,$AA111/'Control Panel'!$C$79),0))</f>
        <v>0</v>
      </c>
      <c r="U111" s="234">
        <f>IF(U$4&lt;$Z111,"",IF(SUM($D111:T111)&lt;$AA111,IF('Control Panel'!$C$79=0,0,$AA111/'Control Panel'!$C$79),0))</f>
        <v>0</v>
      </c>
      <c r="V111" s="234">
        <f>IF(V$4&lt;$Z111,"",IF(SUM($D111:U111)&lt;$AA111,IF('Control Panel'!$C$79=0,0,$AA111/'Control Panel'!$C$79),0))</f>
        <v>0</v>
      </c>
      <c r="W111" s="234">
        <f>IF(W$4&lt;$Z111,"",IF(SUM($D111:V111)&lt;$AA111,IF('Control Panel'!$C$79=0,0,$AA111/'Control Panel'!$C$79),0))</f>
        <v>0</v>
      </c>
      <c r="X111" s="235">
        <f>IF(X$4&lt;$Z111,"",IF(SUM($D111:W111)&lt;$AA111,IF('Control Panel'!$C$79=0,0,$AA111/'Control Panel'!$C$79),0))</f>
        <v>0</v>
      </c>
      <c r="Y111" s="143"/>
      <c r="Z111" s="232">
        <f t="shared" si="31"/>
        <v>8</v>
      </c>
      <c r="AA111" s="143">
        <v>0</v>
      </c>
    </row>
    <row r="112" spans="2:38" outlineLevel="1">
      <c r="C112" s="37"/>
      <c r="D112" s="37"/>
      <c r="E112" s="233" t="str">
        <f>IF(E$4&lt;$Z112,"",IF(SUM($D112:D112)&lt;$AA112,IF('Control Panel'!$C$79=0,0,$AA112/'Control Panel'!$C$79),0))</f>
        <v/>
      </c>
      <c r="F112" s="234" t="str">
        <f>IF(F$4&lt;$Z112,"",IF(SUM($D112:E112)&lt;$AA112,IF('Control Panel'!$C$79=0,0,$AA112/'Control Panel'!$C$79),0))</f>
        <v/>
      </c>
      <c r="G112" s="234" t="str">
        <f>IF(G$4&lt;$Z112,"",IF(SUM($D112:F112)&lt;$AA112,IF('Control Panel'!$C$79=0,0,$AA112/'Control Panel'!$C$79),0))</f>
        <v/>
      </c>
      <c r="H112" s="234" t="str">
        <f>IF(H$4&lt;$Z112,"",IF(SUM($D112:G112)&lt;$AA112,IF('Control Panel'!$C$79=0,0,$AA112/'Control Panel'!$C$79),0))</f>
        <v/>
      </c>
      <c r="I112" s="234" t="str">
        <f>IF(I$4&lt;$Z112,"",IF(SUM($D112:H112)&lt;$AA112,IF('Control Panel'!$C$79=0,0,$AA112/'Control Panel'!$C$79),0))</f>
        <v/>
      </c>
      <c r="J112" s="234" t="str">
        <f>IF(J$4&lt;$Z112,"",IF(SUM($D112:I112)&lt;$AA112,IF('Control Panel'!$C$79=0,0,$AA112/'Control Panel'!$C$79),0))</f>
        <v/>
      </c>
      <c r="K112" s="234" t="str">
        <f>IF(K$4&lt;$Z112,"",IF(SUM($D112:J112)&lt;$AA112,IF('Control Panel'!$C$79=0,0,$AA112/'Control Panel'!$C$79),0))</f>
        <v/>
      </c>
      <c r="L112" s="234" t="str">
        <f>IF(L$4&lt;$Z112,"",IF(SUM($D112:K112)&lt;$AA112,IF('Control Panel'!$C$79=0,0,$AA112/'Control Panel'!$C$79),0))</f>
        <v/>
      </c>
      <c r="M112" s="234">
        <f>IF(M$4&lt;$Z112,"",IF(SUM($D112:L112)&lt;$AA112,IF('Control Panel'!$C$79=0,0,$AA112/'Control Panel'!$C$79),0))</f>
        <v>0</v>
      </c>
      <c r="N112" s="234">
        <f>IF(N$4&lt;$Z112,"",IF(SUM($D112:M112)&lt;$AA112,IF('Control Panel'!$C$79=0,0,$AA112/'Control Panel'!$C$79),0))</f>
        <v>0</v>
      </c>
      <c r="O112" s="234">
        <f>IF(O$4&lt;$Z112,"",IF(SUM($D112:N112)&lt;$AA112,IF('Control Panel'!$C$79=0,0,$AA112/'Control Panel'!$C$79),0))</f>
        <v>0</v>
      </c>
      <c r="P112" s="234">
        <f>IF(P$4&lt;$Z112,"",IF(SUM($D112:O112)&lt;$AA112,IF('Control Panel'!$C$79=0,0,$AA112/'Control Panel'!$C$79),0))</f>
        <v>0</v>
      </c>
      <c r="Q112" s="234">
        <f>IF(Q$4&lt;$Z112,"",IF(SUM($D112:P112)&lt;$AA112,IF('Control Panel'!$C$79=0,0,$AA112/'Control Panel'!$C$79),0))</f>
        <v>0</v>
      </c>
      <c r="R112" s="234">
        <f>IF(R$4&lt;$Z112,"",IF(SUM($D112:Q112)&lt;$AA112,IF('Control Panel'!$C$79=0,0,$AA112/'Control Panel'!$C$79),0))</f>
        <v>0</v>
      </c>
      <c r="S112" s="234">
        <f>IF(S$4&lt;$Z112,"",IF(SUM($D112:R112)&lt;$AA112,IF('Control Panel'!$C$79=0,0,$AA112/'Control Panel'!$C$79),0))</f>
        <v>0</v>
      </c>
      <c r="T112" s="234">
        <f>IF(T$4&lt;$Z112,"",IF(SUM($D112:S112)&lt;$AA112,IF('Control Panel'!$C$79=0,0,$AA112/'Control Panel'!$C$79),0))</f>
        <v>0</v>
      </c>
      <c r="U112" s="234">
        <f>IF(U$4&lt;$Z112,"",IF(SUM($D112:T112)&lt;$AA112,IF('Control Panel'!$C$79=0,0,$AA112/'Control Panel'!$C$79),0))</f>
        <v>0</v>
      </c>
      <c r="V112" s="234">
        <f>IF(V$4&lt;$Z112,"",IF(SUM($D112:U112)&lt;$AA112,IF('Control Panel'!$C$79=0,0,$AA112/'Control Panel'!$C$79),0))</f>
        <v>0</v>
      </c>
      <c r="W112" s="234">
        <f>IF(W$4&lt;$Z112,"",IF(SUM($D112:V112)&lt;$AA112,IF('Control Panel'!$C$79=0,0,$AA112/'Control Panel'!$C$79),0))</f>
        <v>0</v>
      </c>
      <c r="X112" s="235">
        <f>IF(X$4&lt;$Z112,"",IF(SUM($D112:W112)&lt;$AA112,IF('Control Panel'!$C$79=0,0,$AA112/'Control Panel'!$C$79),0))</f>
        <v>0</v>
      </c>
      <c r="Y112" s="143"/>
      <c r="Z112" s="232">
        <f t="shared" si="31"/>
        <v>9</v>
      </c>
      <c r="AA112" s="143">
        <v>0</v>
      </c>
    </row>
    <row r="113" spans="2:38" outlineLevel="1">
      <c r="C113" s="37"/>
      <c r="D113" s="37"/>
      <c r="E113" s="233" t="str">
        <f>IF(E$4&lt;$Z113,"",IF(SUM($D113:D113)&lt;$AA113,IF('Control Panel'!$C$79=0,0,$AA113/'Control Panel'!$C$79),0))</f>
        <v/>
      </c>
      <c r="F113" s="234" t="str">
        <f>IF(F$4&lt;$Z113,"",IF(SUM($D113:E113)&lt;$AA113,IF('Control Panel'!$C$79=0,0,$AA113/'Control Panel'!$C$79),0))</f>
        <v/>
      </c>
      <c r="G113" s="234" t="str">
        <f>IF(G$4&lt;$Z113,"",IF(SUM($D113:F113)&lt;$AA113,IF('Control Panel'!$C$79=0,0,$AA113/'Control Panel'!$C$79),0))</f>
        <v/>
      </c>
      <c r="H113" s="234" t="str">
        <f>IF(H$4&lt;$Z113,"",IF(SUM($D113:G113)&lt;$AA113,IF('Control Panel'!$C$79=0,0,$AA113/'Control Panel'!$C$79),0))</f>
        <v/>
      </c>
      <c r="I113" s="234" t="str">
        <f>IF(I$4&lt;$Z113,"",IF(SUM($D113:H113)&lt;$AA113,IF('Control Panel'!$C$79=0,0,$AA113/'Control Panel'!$C$79),0))</f>
        <v/>
      </c>
      <c r="J113" s="234" t="str">
        <f>IF(J$4&lt;$Z113,"",IF(SUM($D113:I113)&lt;$AA113,IF('Control Panel'!$C$79=0,0,$AA113/'Control Panel'!$C$79),0))</f>
        <v/>
      </c>
      <c r="K113" s="234" t="str">
        <f>IF(K$4&lt;$Z113,"",IF(SUM($D113:J113)&lt;$AA113,IF('Control Panel'!$C$79=0,0,$AA113/'Control Panel'!$C$79),0))</f>
        <v/>
      </c>
      <c r="L113" s="234" t="str">
        <f>IF(L$4&lt;$Z113,"",IF(SUM($D113:K113)&lt;$AA113,IF('Control Panel'!$C$79=0,0,$AA113/'Control Panel'!$C$79),0))</f>
        <v/>
      </c>
      <c r="M113" s="234" t="str">
        <f>IF(M$4&lt;$Z113,"",IF(SUM($D113:L113)&lt;$AA113,IF('Control Panel'!$C$79=0,0,$AA113/'Control Panel'!$C$79),0))</f>
        <v/>
      </c>
      <c r="N113" s="234">
        <f>IF(N$4&lt;$Z113,"",IF(SUM($D113:M113)&lt;$AA113,IF('Control Panel'!$C$79=0,0,$AA113/'Control Panel'!$C$79),0))</f>
        <v>0</v>
      </c>
      <c r="O113" s="234">
        <f>IF(O$4&lt;$Z113,"",IF(SUM($D113:N113)&lt;$AA113,IF('Control Panel'!$C$79=0,0,$AA113/'Control Panel'!$C$79),0))</f>
        <v>0</v>
      </c>
      <c r="P113" s="234">
        <f>IF(P$4&lt;$Z113,"",IF(SUM($D113:O113)&lt;$AA113,IF('Control Panel'!$C$79=0,0,$AA113/'Control Panel'!$C$79),0))</f>
        <v>0</v>
      </c>
      <c r="Q113" s="234">
        <f>IF(Q$4&lt;$Z113,"",IF(SUM($D113:P113)&lt;$AA113,IF('Control Panel'!$C$79=0,0,$AA113/'Control Panel'!$C$79),0))</f>
        <v>0</v>
      </c>
      <c r="R113" s="234">
        <f>IF(R$4&lt;$Z113,"",IF(SUM($D113:Q113)&lt;$AA113,IF('Control Panel'!$C$79=0,0,$AA113/'Control Panel'!$C$79),0))</f>
        <v>0</v>
      </c>
      <c r="S113" s="234">
        <f>IF(S$4&lt;$Z113,"",IF(SUM($D113:R113)&lt;$AA113,IF('Control Panel'!$C$79=0,0,$AA113/'Control Panel'!$C$79),0))</f>
        <v>0</v>
      </c>
      <c r="T113" s="234">
        <f>IF(T$4&lt;$Z113,"",IF(SUM($D113:S113)&lt;$AA113,IF('Control Panel'!$C$79=0,0,$AA113/'Control Panel'!$C$79),0))</f>
        <v>0</v>
      </c>
      <c r="U113" s="234">
        <f>IF(U$4&lt;$Z113,"",IF(SUM($D113:T113)&lt;$AA113,IF('Control Panel'!$C$79=0,0,$AA113/'Control Panel'!$C$79),0))</f>
        <v>0</v>
      </c>
      <c r="V113" s="234">
        <f>IF(V$4&lt;$Z113,"",IF(SUM($D113:U113)&lt;$AA113,IF('Control Panel'!$C$79=0,0,$AA113/'Control Panel'!$C$79),0))</f>
        <v>0</v>
      </c>
      <c r="W113" s="234">
        <f>IF(W$4&lt;$Z113,"",IF(SUM($D113:V113)&lt;$AA113,IF('Control Panel'!$C$79=0,0,$AA113/'Control Panel'!$C$79),0))</f>
        <v>0</v>
      </c>
      <c r="X113" s="235">
        <f>IF(X$4&lt;$Z113,"",IF(SUM($D113:W113)&lt;$AA113,IF('Control Panel'!$C$79=0,0,$AA113/'Control Panel'!$C$79),0))</f>
        <v>0</v>
      </c>
      <c r="Y113" s="143"/>
      <c r="Z113" s="232">
        <f t="shared" si="31"/>
        <v>10</v>
      </c>
      <c r="AA113" s="143">
        <v>0</v>
      </c>
    </row>
    <row r="114" spans="2:38" outlineLevel="1">
      <c r="C114" s="37"/>
      <c r="D114" s="37"/>
      <c r="E114" s="233" t="str">
        <f>IF(E$4&lt;$Z114,"",IF(SUM($D114:D114)&lt;$AA114,IF('Control Panel'!$C$79=0,0,$AA114/'Control Panel'!$C$79),0))</f>
        <v/>
      </c>
      <c r="F114" s="234" t="str">
        <f>IF(F$4&lt;$Z114,"",IF(SUM($D114:E114)&lt;$AA114,IF('Control Panel'!$C$79=0,0,$AA114/'Control Panel'!$C$79),0))</f>
        <v/>
      </c>
      <c r="G114" s="234" t="str">
        <f>IF(G$4&lt;$Z114,"",IF(SUM($D114:F114)&lt;$AA114,IF('Control Panel'!$C$79=0,0,$AA114/'Control Panel'!$C$79),0))</f>
        <v/>
      </c>
      <c r="H114" s="234" t="str">
        <f>IF(H$4&lt;$Z114,"",IF(SUM($D114:G114)&lt;$AA114,IF('Control Panel'!$C$79=0,0,$AA114/'Control Panel'!$C$79),0))</f>
        <v/>
      </c>
      <c r="I114" s="234" t="str">
        <f>IF(I$4&lt;$Z114,"",IF(SUM($D114:H114)&lt;$AA114,IF('Control Panel'!$C$79=0,0,$AA114/'Control Panel'!$C$79),0))</f>
        <v/>
      </c>
      <c r="J114" s="234" t="str">
        <f>IF(J$4&lt;$Z114,"",IF(SUM($D114:I114)&lt;$AA114,IF('Control Panel'!$C$79=0,0,$AA114/'Control Panel'!$C$79),0))</f>
        <v/>
      </c>
      <c r="K114" s="234" t="str">
        <f>IF(K$4&lt;$Z114,"",IF(SUM($D114:J114)&lt;$AA114,IF('Control Panel'!$C$79=0,0,$AA114/'Control Panel'!$C$79),0))</f>
        <v/>
      </c>
      <c r="L114" s="234" t="str">
        <f>IF(L$4&lt;$Z114,"",IF(SUM($D114:K114)&lt;$AA114,IF('Control Panel'!$C$79=0,0,$AA114/'Control Panel'!$C$79),0))</f>
        <v/>
      </c>
      <c r="M114" s="234" t="str">
        <f>IF(M$4&lt;$Z114,"",IF(SUM($D114:L114)&lt;$AA114,IF('Control Panel'!$C$79=0,0,$AA114/'Control Panel'!$C$79),0))</f>
        <v/>
      </c>
      <c r="N114" s="234" t="str">
        <f>IF(N$4&lt;$Z114,"",IF(SUM($D114:M114)&lt;$AA114,IF('Control Panel'!$C$79=0,0,$AA114/'Control Panel'!$C$79),0))</f>
        <v/>
      </c>
      <c r="O114" s="234">
        <f>IF(O$4&lt;$Z114,"",IF(SUM($D114:N114)&lt;$AA114,IF('Control Panel'!$C$79=0,0,$AA114/'Control Panel'!$C$79),0))</f>
        <v>0</v>
      </c>
      <c r="P114" s="234">
        <f>IF(P$4&lt;$Z114,"",IF(SUM($D114:O114)&lt;$AA114,IF('Control Panel'!$C$79=0,0,$AA114/'Control Panel'!$C$79),0))</f>
        <v>0</v>
      </c>
      <c r="Q114" s="234">
        <f>IF(Q$4&lt;$Z114,"",IF(SUM($D114:P114)&lt;$AA114,IF('Control Panel'!$C$79=0,0,$AA114/'Control Panel'!$C$79),0))</f>
        <v>0</v>
      </c>
      <c r="R114" s="234">
        <f>IF(R$4&lt;$Z114,"",IF(SUM($D114:Q114)&lt;$AA114,IF('Control Panel'!$C$79=0,0,$AA114/'Control Panel'!$C$79),0))</f>
        <v>0</v>
      </c>
      <c r="S114" s="234">
        <f>IF(S$4&lt;$Z114,"",IF(SUM($D114:R114)&lt;$AA114,IF('Control Panel'!$C$79=0,0,$AA114/'Control Panel'!$C$79),0))</f>
        <v>0</v>
      </c>
      <c r="T114" s="234">
        <f>IF(T$4&lt;$Z114,"",IF(SUM($D114:S114)&lt;$AA114,IF('Control Panel'!$C$79=0,0,$AA114/'Control Panel'!$C$79),0))</f>
        <v>0</v>
      </c>
      <c r="U114" s="234">
        <f>IF(U$4&lt;$Z114,"",IF(SUM($D114:T114)&lt;$AA114,IF('Control Panel'!$C$79=0,0,$AA114/'Control Panel'!$C$79),0))</f>
        <v>0</v>
      </c>
      <c r="V114" s="234">
        <f>IF(V$4&lt;$Z114,"",IF(SUM($D114:U114)&lt;$AA114,IF('Control Panel'!$C$79=0,0,$AA114/'Control Panel'!$C$79),0))</f>
        <v>0</v>
      </c>
      <c r="W114" s="234">
        <f>IF(W$4&lt;$Z114,"",IF(SUM($D114:V114)&lt;$AA114,IF('Control Panel'!$C$79=0,0,$AA114/'Control Panel'!$C$79),0))</f>
        <v>0</v>
      </c>
      <c r="X114" s="235">
        <f>IF(X$4&lt;$Z114,"",IF(SUM($D114:W114)&lt;$AA114,IF('Control Panel'!$C$79=0,0,$AA114/'Control Panel'!$C$79),0))</f>
        <v>0</v>
      </c>
      <c r="Y114" s="143"/>
      <c r="Z114" s="232">
        <f t="shared" si="31"/>
        <v>11</v>
      </c>
      <c r="AA114" s="143">
        <v>0</v>
      </c>
    </row>
    <row r="115" spans="2:38" outlineLevel="1">
      <c r="C115" s="37"/>
      <c r="D115" s="37"/>
      <c r="E115" s="233" t="str">
        <f>IF(E$4&lt;$Z115,"",IF(SUM($D115:D115)&lt;$AA115,IF('Control Panel'!$C$79=0,0,$AA115/'Control Panel'!$C$79),0))</f>
        <v/>
      </c>
      <c r="F115" s="234" t="str">
        <f>IF(F$4&lt;$Z115,"",IF(SUM($D115:E115)&lt;$AA115,IF('Control Panel'!$C$79=0,0,$AA115/'Control Panel'!$C$79),0))</f>
        <v/>
      </c>
      <c r="G115" s="234" t="str">
        <f>IF(G$4&lt;$Z115,"",IF(SUM($D115:F115)&lt;$AA115,IF('Control Panel'!$C$79=0,0,$AA115/'Control Panel'!$C$79),0))</f>
        <v/>
      </c>
      <c r="H115" s="234" t="str">
        <f>IF(H$4&lt;$Z115,"",IF(SUM($D115:G115)&lt;$AA115,IF('Control Panel'!$C$79=0,0,$AA115/'Control Panel'!$C$79),0))</f>
        <v/>
      </c>
      <c r="I115" s="234" t="str">
        <f>IF(I$4&lt;$Z115,"",IF(SUM($D115:H115)&lt;$AA115,IF('Control Panel'!$C$79=0,0,$AA115/'Control Panel'!$C$79),0))</f>
        <v/>
      </c>
      <c r="J115" s="234" t="str">
        <f>IF(J$4&lt;$Z115,"",IF(SUM($D115:I115)&lt;$AA115,IF('Control Panel'!$C$79=0,0,$AA115/'Control Panel'!$C$79),0))</f>
        <v/>
      </c>
      <c r="K115" s="234" t="str">
        <f>IF(K$4&lt;$Z115,"",IF(SUM($D115:J115)&lt;$AA115,IF('Control Panel'!$C$79=0,0,$AA115/'Control Panel'!$C$79),0))</f>
        <v/>
      </c>
      <c r="L115" s="234" t="str">
        <f>IF(L$4&lt;$Z115,"",IF(SUM($D115:K115)&lt;$AA115,IF('Control Panel'!$C$79=0,0,$AA115/'Control Panel'!$C$79),0))</f>
        <v/>
      </c>
      <c r="M115" s="234" t="str">
        <f>IF(M$4&lt;$Z115,"",IF(SUM($D115:L115)&lt;$AA115,IF('Control Panel'!$C$79=0,0,$AA115/'Control Panel'!$C$79),0))</f>
        <v/>
      </c>
      <c r="N115" s="234" t="str">
        <f>IF(N$4&lt;$Z115,"",IF(SUM($D115:M115)&lt;$AA115,IF('Control Panel'!$C$79=0,0,$AA115/'Control Panel'!$C$79),0))</f>
        <v/>
      </c>
      <c r="O115" s="234" t="str">
        <f>IF(O$4&lt;$Z115,"",IF(SUM($D115:N115)&lt;$AA115,IF('Control Panel'!$C$79=0,0,$AA115/'Control Panel'!$C$79),0))</f>
        <v/>
      </c>
      <c r="P115" s="234">
        <f>IF(P$4&lt;$Z115,"",IF(SUM($D115:O115)&lt;$AA115,IF('Control Panel'!$C$79=0,0,$AA115/'Control Panel'!$C$79),0))</f>
        <v>0</v>
      </c>
      <c r="Q115" s="234">
        <f>IF(Q$4&lt;$Z115,"",IF(SUM($D115:P115)&lt;$AA115,IF('Control Panel'!$C$79=0,0,$AA115/'Control Panel'!$C$79),0))</f>
        <v>0</v>
      </c>
      <c r="R115" s="234">
        <f>IF(R$4&lt;$Z115,"",IF(SUM($D115:Q115)&lt;$AA115,IF('Control Panel'!$C$79=0,0,$AA115/'Control Panel'!$C$79),0))</f>
        <v>0</v>
      </c>
      <c r="S115" s="234">
        <f>IF(S$4&lt;$Z115,"",IF(SUM($D115:R115)&lt;$AA115,IF('Control Panel'!$C$79=0,0,$AA115/'Control Panel'!$C$79),0))</f>
        <v>0</v>
      </c>
      <c r="T115" s="234">
        <f>IF(T$4&lt;$Z115,"",IF(SUM($D115:S115)&lt;$AA115,IF('Control Panel'!$C$79=0,0,$AA115/'Control Panel'!$C$79),0))</f>
        <v>0</v>
      </c>
      <c r="U115" s="234">
        <f>IF(U$4&lt;$Z115,"",IF(SUM($D115:T115)&lt;$AA115,IF('Control Panel'!$C$79=0,0,$AA115/'Control Panel'!$C$79),0))</f>
        <v>0</v>
      </c>
      <c r="V115" s="234">
        <f>IF(V$4&lt;$Z115,"",IF(SUM($D115:U115)&lt;$AA115,IF('Control Panel'!$C$79=0,0,$AA115/'Control Panel'!$C$79),0))</f>
        <v>0</v>
      </c>
      <c r="W115" s="234">
        <f>IF(W$4&lt;$Z115,"",IF(SUM($D115:V115)&lt;$AA115,IF('Control Panel'!$C$79=0,0,$AA115/'Control Panel'!$C$79),0))</f>
        <v>0</v>
      </c>
      <c r="X115" s="235">
        <f>IF(X$4&lt;$Z115,"",IF(SUM($D115:W115)&lt;$AA115,IF('Control Panel'!$C$79=0,0,$AA115/'Control Panel'!$C$79),0))</f>
        <v>0</v>
      </c>
      <c r="Y115" s="143"/>
      <c r="Z115" s="232">
        <f t="shared" si="31"/>
        <v>12</v>
      </c>
      <c r="AA115" s="143">
        <v>0</v>
      </c>
    </row>
    <row r="116" spans="2:38" outlineLevel="1">
      <c r="C116" s="37"/>
      <c r="D116" s="37"/>
      <c r="E116" s="233" t="str">
        <f>IF(E$4&lt;$Z116,"",IF(SUM($D116:D116)&lt;$AA116,IF('Control Panel'!$C$79=0,0,$AA116/'Control Panel'!$C$79),0))</f>
        <v/>
      </c>
      <c r="F116" s="234" t="str">
        <f>IF(F$4&lt;$Z116,"",IF(SUM($D116:E116)&lt;$AA116,IF('Control Panel'!$C$79=0,0,$AA116/'Control Panel'!$C$79),0))</f>
        <v/>
      </c>
      <c r="G116" s="234" t="str">
        <f>IF(G$4&lt;$Z116,"",IF(SUM($D116:F116)&lt;$AA116,IF('Control Panel'!$C$79=0,0,$AA116/'Control Panel'!$C$79),0))</f>
        <v/>
      </c>
      <c r="H116" s="234" t="str">
        <f>IF(H$4&lt;$Z116,"",IF(SUM($D116:G116)&lt;$AA116,IF('Control Panel'!$C$79=0,0,$AA116/'Control Panel'!$C$79),0))</f>
        <v/>
      </c>
      <c r="I116" s="234" t="str">
        <f>IF(I$4&lt;$Z116,"",IF(SUM($D116:H116)&lt;$AA116,IF('Control Panel'!$C$79=0,0,$AA116/'Control Panel'!$C$79),0))</f>
        <v/>
      </c>
      <c r="J116" s="234" t="str">
        <f>IF(J$4&lt;$Z116,"",IF(SUM($D116:I116)&lt;$AA116,IF('Control Panel'!$C$79=0,0,$AA116/'Control Panel'!$C$79),0))</f>
        <v/>
      </c>
      <c r="K116" s="234" t="str">
        <f>IF(K$4&lt;$Z116,"",IF(SUM($D116:J116)&lt;$AA116,IF('Control Panel'!$C$79=0,0,$AA116/'Control Panel'!$C$79),0))</f>
        <v/>
      </c>
      <c r="L116" s="234" t="str">
        <f>IF(L$4&lt;$Z116,"",IF(SUM($D116:K116)&lt;$AA116,IF('Control Panel'!$C$79=0,0,$AA116/'Control Panel'!$C$79),0))</f>
        <v/>
      </c>
      <c r="M116" s="234" t="str">
        <f>IF(M$4&lt;$Z116,"",IF(SUM($D116:L116)&lt;$AA116,IF('Control Panel'!$C$79=0,0,$AA116/'Control Panel'!$C$79),0))</f>
        <v/>
      </c>
      <c r="N116" s="234" t="str">
        <f>IF(N$4&lt;$Z116,"",IF(SUM($D116:M116)&lt;$AA116,IF('Control Panel'!$C$79=0,0,$AA116/'Control Panel'!$C$79),0))</f>
        <v/>
      </c>
      <c r="O116" s="234" t="str">
        <f>IF(O$4&lt;$Z116,"",IF(SUM($D116:N116)&lt;$AA116,IF('Control Panel'!$C$79=0,0,$AA116/'Control Panel'!$C$79),0))</f>
        <v/>
      </c>
      <c r="P116" s="234" t="str">
        <f>IF(P$4&lt;$Z116,"",IF(SUM($D116:O116)&lt;$AA116,IF('Control Panel'!$C$79=0,0,$AA116/'Control Panel'!$C$79),0))</f>
        <v/>
      </c>
      <c r="Q116" s="234">
        <f>IF(Q$4&lt;$Z116,"",IF(SUM($D116:P116)&lt;$AA116,IF('Control Panel'!$C$79=0,0,$AA116/'Control Panel'!$C$79),0))</f>
        <v>0</v>
      </c>
      <c r="R116" s="234">
        <f>IF(R$4&lt;$Z116,"",IF(SUM($D116:Q116)&lt;$AA116,IF('Control Panel'!$C$79=0,0,$AA116/'Control Panel'!$C$79),0))</f>
        <v>0</v>
      </c>
      <c r="S116" s="234">
        <f>IF(S$4&lt;$Z116,"",IF(SUM($D116:R116)&lt;$AA116,IF('Control Panel'!$C$79=0,0,$AA116/'Control Panel'!$C$79),0))</f>
        <v>0</v>
      </c>
      <c r="T116" s="234">
        <f>IF(T$4&lt;$Z116,"",IF(SUM($D116:S116)&lt;$AA116,IF('Control Panel'!$C$79=0,0,$AA116/'Control Panel'!$C$79),0))</f>
        <v>0</v>
      </c>
      <c r="U116" s="234">
        <f>IF(U$4&lt;$Z116,"",IF(SUM($D116:T116)&lt;$AA116,IF('Control Panel'!$C$79=0,0,$AA116/'Control Panel'!$C$79),0))</f>
        <v>0</v>
      </c>
      <c r="V116" s="234">
        <f>IF(V$4&lt;$Z116,"",IF(SUM($D116:U116)&lt;$AA116,IF('Control Panel'!$C$79=0,0,$AA116/'Control Panel'!$C$79),0))</f>
        <v>0</v>
      </c>
      <c r="W116" s="234">
        <f>IF(W$4&lt;$Z116,"",IF(SUM($D116:V116)&lt;$AA116,IF('Control Panel'!$C$79=0,0,$AA116/'Control Panel'!$C$79),0))</f>
        <v>0</v>
      </c>
      <c r="X116" s="235">
        <f>IF(X$4&lt;$Z116,"",IF(SUM($D116:W116)&lt;$AA116,IF('Control Panel'!$C$79=0,0,$AA116/'Control Panel'!$C$79),0))</f>
        <v>0</v>
      </c>
      <c r="Y116" s="143"/>
      <c r="Z116" s="232">
        <f t="shared" si="31"/>
        <v>13</v>
      </c>
      <c r="AA116" s="143">
        <v>0</v>
      </c>
    </row>
    <row r="117" spans="2:38" outlineLevel="1">
      <c r="C117" s="37"/>
      <c r="D117" s="37"/>
      <c r="E117" s="233" t="str">
        <f>IF(E$4&lt;$Z117,"",IF(SUM($D117:D117)&lt;$AA117,IF('Control Panel'!$C$79=0,0,$AA117/'Control Panel'!$C$79),0))</f>
        <v/>
      </c>
      <c r="F117" s="234" t="str">
        <f>IF(F$4&lt;$Z117,"",IF(SUM($D117:E117)&lt;$AA117,IF('Control Panel'!$C$79=0,0,$AA117/'Control Panel'!$C$79),0))</f>
        <v/>
      </c>
      <c r="G117" s="234" t="str">
        <f>IF(G$4&lt;$Z117,"",IF(SUM($D117:F117)&lt;$AA117,IF('Control Panel'!$C$79=0,0,$AA117/'Control Panel'!$C$79),0))</f>
        <v/>
      </c>
      <c r="H117" s="234" t="str">
        <f>IF(H$4&lt;$Z117,"",IF(SUM($D117:G117)&lt;$AA117,IF('Control Panel'!$C$79=0,0,$AA117/'Control Panel'!$C$79),0))</f>
        <v/>
      </c>
      <c r="I117" s="234" t="str">
        <f>IF(I$4&lt;$Z117,"",IF(SUM($D117:H117)&lt;$AA117,IF('Control Panel'!$C$79=0,0,$AA117/'Control Panel'!$C$79),0))</f>
        <v/>
      </c>
      <c r="J117" s="234" t="str">
        <f>IF(J$4&lt;$Z117,"",IF(SUM($D117:I117)&lt;$AA117,IF('Control Panel'!$C$79=0,0,$AA117/'Control Panel'!$C$79),0))</f>
        <v/>
      </c>
      <c r="K117" s="234" t="str">
        <f>IF(K$4&lt;$Z117,"",IF(SUM($D117:J117)&lt;$AA117,IF('Control Panel'!$C$79=0,0,$AA117/'Control Panel'!$C$79),0))</f>
        <v/>
      </c>
      <c r="L117" s="234" t="str">
        <f>IF(L$4&lt;$Z117,"",IF(SUM($D117:K117)&lt;$AA117,IF('Control Panel'!$C$79=0,0,$AA117/'Control Panel'!$C$79),0))</f>
        <v/>
      </c>
      <c r="M117" s="234" t="str">
        <f>IF(M$4&lt;$Z117,"",IF(SUM($D117:L117)&lt;$AA117,IF('Control Panel'!$C$79=0,0,$AA117/'Control Panel'!$C$79),0))</f>
        <v/>
      </c>
      <c r="N117" s="234" t="str">
        <f>IF(N$4&lt;$Z117,"",IF(SUM($D117:M117)&lt;$AA117,IF('Control Panel'!$C$79=0,0,$AA117/'Control Panel'!$C$79),0))</f>
        <v/>
      </c>
      <c r="O117" s="234" t="str">
        <f>IF(O$4&lt;$Z117,"",IF(SUM($D117:N117)&lt;$AA117,IF('Control Panel'!$C$79=0,0,$AA117/'Control Panel'!$C$79),0))</f>
        <v/>
      </c>
      <c r="P117" s="234" t="str">
        <f>IF(P$4&lt;$Z117,"",IF(SUM($D117:O117)&lt;$AA117,IF('Control Panel'!$C$79=0,0,$AA117/'Control Panel'!$C$79),0))</f>
        <v/>
      </c>
      <c r="Q117" s="234" t="str">
        <f>IF(Q$4&lt;$Z117,"",IF(SUM($D117:P117)&lt;$AA117,IF('Control Panel'!$C$79=0,0,$AA117/'Control Panel'!$C$79),0))</f>
        <v/>
      </c>
      <c r="R117" s="234">
        <f>IF(R$4&lt;$Z117,"",IF(SUM($D117:Q117)&lt;$AA117,IF('Control Panel'!$C$79=0,0,$AA117/'Control Panel'!$C$79),0))</f>
        <v>0</v>
      </c>
      <c r="S117" s="234">
        <f>IF(S$4&lt;$Z117,"",IF(SUM($D117:R117)&lt;$AA117,IF('Control Panel'!$C$79=0,0,$AA117/'Control Panel'!$C$79),0))</f>
        <v>0</v>
      </c>
      <c r="T117" s="234">
        <f>IF(T$4&lt;$Z117,"",IF(SUM($D117:S117)&lt;$AA117,IF('Control Panel'!$C$79=0,0,$AA117/'Control Panel'!$C$79),0))</f>
        <v>0</v>
      </c>
      <c r="U117" s="234">
        <f>IF(U$4&lt;$Z117,"",IF(SUM($D117:T117)&lt;$AA117,IF('Control Panel'!$C$79=0,0,$AA117/'Control Panel'!$C$79),0))</f>
        <v>0</v>
      </c>
      <c r="V117" s="234">
        <f>IF(V$4&lt;$Z117,"",IF(SUM($D117:U117)&lt;$AA117,IF('Control Panel'!$C$79=0,0,$AA117/'Control Panel'!$C$79),0))</f>
        <v>0</v>
      </c>
      <c r="W117" s="234">
        <f>IF(W$4&lt;$Z117,"",IF(SUM($D117:V117)&lt;$AA117,IF('Control Panel'!$C$79=0,0,$AA117/'Control Panel'!$C$79),0))</f>
        <v>0</v>
      </c>
      <c r="X117" s="235">
        <f>IF(X$4&lt;$Z117,"",IF(SUM($D117:W117)&lt;$AA117,IF('Control Panel'!$C$79=0,0,$AA117/'Control Panel'!$C$79),0))</f>
        <v>0</v>
      </c>
      <c r="Y117" s="143"/>
      <c r="Z117" s="232">
        <f t="shared" si="31"/>
        <v>14</v>
      </c>
      <c r="AA117" s="143">
        <v>0</v>
      </c>
    </row>
    <row r="118" spans="2:38" outlineLevel="1">
      <c r="C118" s="37"/>
      <c r="D118" s="37"/>
      <c r="E118" s="233" t="str">
        <f>IF(E$4&lt;$Z118,"",IF(SUM($D118:D118)&lt;$AA118,IF('Control Panel'!$C$79=0,0,$AA118/'Control Panel'!$C$79),0))</f>
        <v/>
      </c>
      <c r="F118" s="234" t="str">
        <f>IF(F$4&lt;$Z118,"",IF(SUM($D118:E118)&lt;$AA118,IF('Control Panel'!$C$79=0,0,$AA118/'Control Panel'!$C$79),0))</f>
        <v/>
      </c>
      <c r="G118" s="234" t="str">
        <f>IF(G$4&lt;$Z118,"",IF(SUM($D118:F118)&lt;$AA118,IF('Control Panel'!$C$79=0,0,$AA118/'Control Panel'!$C$79),0))</f>
        <v/>
      </c>
      <c r="H118" s="234" t="str">
        <f>IF(H$4&lt;$Z118,"",IF(SUM($D118:G118)&lt;$AA118,IF('Control Panel'!$C$79=0,0,$AA118/'Control Panel'!$C$79),0))</f>
        <v/>
      </c>
      <c r="I118" s="234" t="str">
        <f>IF(I$4&lt;$Z118,"",IF(SUM($D118:H118)&lt;$AA118,IF('Control Panel'!$C$79=0,0,$AA118/'Control Panel'!$C$79),0))</f>
        <v/>
      </c>
      <c r="J118" s="234" t="str">
        <f>IF(J$4&lt;$Z118,"",IF(SUM($D118:I118)&lt;$AA118,IF('Control Panel'!$C$79=0,0,$AA118/'Control Panel'!$C$79),0))</f>
        <v/>
      </c>
      <c r="K118" s="234" t="str">
        <f>IF(K$4&lt;$Z118,"",IF(SUM($D118:J118)&lt;$AA118,IF('Control Panel'!$C$79=0,0,$AA118/'Control Panel'!$C$79),0))</f>
        <v/>
      </c>
      <c r="L118" s="234" t="str">
        <f>IF(L$4&lt;$Z118,"",IF(SUM($D118:K118)&lt;$AA118,IF('Control Panel'!$C$79=0,0,$AA118/'Control Panel'!$C$79),0))</f>
        <v/>
      </c>
      <c r="M118" s="234" t="str">
        <f>IF(M$4&lt;$Z118,"",IF(SUM($D118:L118)&lt;$AA118,IF('Control Panel'!$C$79=0,0,$AA118/'Control Panel'!$C$79),0))</f>
        <v/>
      </c>
      <c r="N118" s="234" t="str">
        <f>IF(N$4&lt;$Z118,"",IF(SUM($D118:M118)&lt;$AA118,IF('Control Panel'!$C$79=0,0,$AA118/'Control Panel'!$C$79),0))</f>
        <v/>
      </c>
      <c r="O118" s="234" t="str">
        <f>IF(O$4&lt;$Z118,"",IF(SUM($D118:N118)&lt;$AA118,IF('Control Panel'!$C$79=0,0,$AA118/'Control Panel'!$C$79),0))</f>
        <v/>
      </c>
      <c r="P118" s="234" t="str">
        <f>IF(P$4&lt;$Z118,"",IF(SUM($D118:O118)&lt;$AA118,IF('Control Panel'!$C$79=0,0,$AA118/'Control Panel'!$C$79),0))</f>
        <v/>
      </c>
      <c r="Q118" s="234" t="str">
        <f>IF(Q$4&lt;$Z118,"",IF(SUM($D118:P118)&lt;$AA118,IF('Control Panel'!$C$79=0,0,$AA118/'Control Panel'!$C$79),0))</f>
        <v/>
      </c>
      <c r="R118" s="234" t="str">
        <f>IF(R$4&lt;$Z118,"",IF(SUM($D118:Q118)&lt;$AA118,IF('Control Panel'!$C$79=0,0,$AA118/'Control Panel'!$C$79),0))</f>
        <v/>
      </c>
      <c r="S118" s="234">
        <f>IF(S$4&lt;$Z118,"",IF(SUM($D118:R118)&lt;$AA118,IF('Control Panel'!$C$79=0,0,$AA118/'Control Panel'!$C$79),0))</f>
        <v>0</v>
      </c>
      <c r="T118" s="234">
        <f>IF(T$4&lt;$Z118,"",IF(SUM($D118:S118)&lt;$AA118,IF('Control Panel'!$C$79=0,0,$AA118/'Control Panel'!$C$79),0))</f>
        <v>0</v>
      </c>
      <c r="U118" s="234">
        <f>IF(U$4&lt;$Z118,"",IF(SUM($D118:T118)&lt;$AA118,IF('Control Panel'!$C$79=0,0,$AA118/'Control Panel'!$C$79),0))</f>
        <v>0</v>
      </c>
      <c r="V118" s="234">
        <f>IF(V$4&lt;$Z118,"",IF(SUM($D118:U118)&lt;$AA118,IF('Control Panel'!$C$79=0,0,$AA118/'Control Panel'!$C$79),0))</f>
        <v>0</v>
      </c>
      <c r="W118" s="234">
        <f>IF(W$4&lt;$Z118,"",IF(SUM($D118:V118)&lt;$AA118,IF('Control Panel'!$C$79=0,0,$AA118/'Control Panel'!$C$79),0))</f>
        <v>0</v>
      </c>
      <c r="X118" s="235">
        <f>IF(X$4&lt;$Z118,"",IF(SUM($D118:W118)&lt;$AA118,IF('Control Panel'!$C$79=0,0,$AA118/'Control Panel'!$C$79),0))</f>
        <v>0</v>
      </c>
      <c r="Y118" s="143"/>
      <c r="Z118" s="232">
        <f t="shared" si="31"/>
        <v>15</v>
      </c>
      <c r="AA118" s="143">
        <v>0</v>
      </c>
    </row>
    <row r="119" spans="2:38" outlineLevel="1">
      <c r="C119" s="37"/>
      <c r="D119" s="37"/>
      <c r="E119" s="233" t="str">
        <f>IF(E$4&lt;$Z119,"",IF(SUM($D119:D119)&lt;$AA119,IF('Control Panel'!$C$79=0,0,$AA119/'Control Panel'!$C$79),0))</f>
        <v/>
      </c>
      <c r="F119" s="234" t="str">
        <f>IF(F$4&lt;$Z119,"",IF(SUM($D119:E119)&lt;$AA119,IF('Control Panel'!$C$79=0,0,$AA119/'Control Panel'!$C$79),0))</f>
        <v/>
      </c>
      <c r="G119" s="234" t="str">
        <f>IF(G$4&lt;$Z119,"",IF(SUM($D119:F119)&lt;$AA119,IF('Control Panel'!$C$79=0,0,$AA119/'Control Panel'!$C$79),0))</f>
        <v/>
      </c>
      <c r="H119" s="234" t="str">
        <f>IF(H$4&lt;$Z119,"",IF(SUM($D119:G119)&lt;$AA119,IF('Control Panel'!$C$79=0,0,$AA119/'Control Panel'!$C$79),0))</f>
        <v/>
      </c>
      <c r="I119" s="234" t="str">
        <f>IF(I$4&lt;$Z119,"",IF(SUM($D119:H119)&lt;$AA119,IF('Control Panel'!$C$79=0,0,$AA119/'Control Panel'!$C$79),0))</f>
        <v/>
      </c>
      <c r="J119" s="234" t="str">
        <f>IF(J$4&lt;$Z119,"",IF(SUM($D119:I119)&lt;$AA119,IF('Control Panel'!$C$79=0,0,$AA119/'Control Panel'!$C$79),0))</f>
        <v/>
      </c>
      <c r="K119" s="234" t="str">
        <f>IF(K$4&lt;$Z119,"",IF(SUM($D119:J119)&lt;$AA119,IF('Control Panel'!$C$79=0,0,$AA119/'Control Panel'!$C$79),0))</f>
        <v/>
      </c>
      <c r="L119" s="234" t="str">
        <f>IF(L$4&lt;$Z119,"",IF(SUM($D119:K119)&lt;$AA119,IF('Control Panel'!$C$79=0,0,$AA119/'Control Panel'!$C$79),0))</f>
        <v/>
      </c>
      <c r="M119" s="234" t="str">
        <f>IF(M$4&lt;$Z119,"",IF(SUM($D119:L119)&lt;$AA119,IF('Control Panel'!$C$79=0,0,$AA119/'Control Panel'!$C$79),0))</f>
        <v/>
      </c>
      <c r="N119" s="234" t="str">
        <f>IF(N$4&lt;$Z119,"",IF(SUM($D119:M119)&lt;$AA119,IF('Control Panel'!$C$79=0,0,$AA119/'Control Panel'!$C$79),0))</f>
        <v/>
      </c>
      <c r="O119" s="234" t="str">
        <f>IF(O$4&lt;$Z119,"",IF(SUM($D119:N119)&lt;$AA119,IF('Control Panel'!$C$79=0,0,$AA119/'Control Panel'!$C$79),0))</f>
        <v/>
      </c>
      <c r="P119" s="234" t="str">
        <f>IF(P$4&lt;$Z119,"",IF(SUM($D119:O119)&lt;$AA119,IF('Control Panel'!$C$79=0,0,$AA119/'Control Panel'!$C$79),0))</f>
        <v/>
      </c>
      <c r="Q119" s="234" t="str">
        <f>IF(Q$4&lt;$Z119,"",IF(SUM($D119:P119)&lt;$AA119,IF('Control Panel'!$C$79=0,0,$AA119/'Control Panel'!$C$79),0))</f>
        <v/>
      </c>
      <c r="R119" s="234" t="str">
        <f>IF(R$4&lt;$Z119,"",IF(SUM($D119:Q119)&lt;$AA119,IF('Control Panel'!$C$79=0,0,$AA119/'Control Panel'!$C$79),0))</f>
        <v/>
      </c>
      <c r="S119" s="234" t="str">
        <f>IF(S$4&lt;$Z119,"",IF(SUM($D119:R119)&lt;$AA119,IF('Control Panel'!$C$79=0,0,$AA119/'Control Panel'!$C$79),0))</f>
        <v/>
      </c>
      <c r="T119" s="234">
        <f>IF(T$4&lt;$Z119,"",IF(SUM($D119:S119)&lt;$AA119,IF('Control Panel'!$C$79=0,0,$AA119/'Control Panel'!$C$79),0))</f>
        <v>0</v>
      </c>
      <c r="U119" s="234">
        <f>IF(U$4&lt;$Z119,"",IF(SUM($D119:T119)&lt;$AA119,IF('Control Panel'!$C$79=0,0,$AA119/'Control Panel'!$C$79),0))</f>
        <v>0</v>
      </c>
      <c r="V119" s="234">
        <f>IF(V$4&lt;$Z119,"",IF(SUM($D119:U119)&lt;$AA119,IF('Control Panel'!$C$79=0,0,$AA119/'Control Panel'!$C$79),0))</f>
        <v>0</v>
      </c>
      <c r="W119" s="234">
        <f>IF(W$4&lt;$Z119,"",IF(SUM($D119:V119)&lt;$AA119,IF('Control Panel'!$C$79=0,0,$AA119/'Control Panel'!$C$79),0))</f>
        <v>0</v>
      </c>
      <c r="X119" s="235">
        <f>IF(X$4&lt;$Z119,"",IF(SUM($D119:W119)&lt;$AA119,IF('Control Panel'!$C$79=0,0,$AA119/'Control Panel'!$C$79),0))</f>
        <v>0</v>
      </c>
      <c r="Y119" s="143"/>
      <c r="Z119" s="232">
        <f t="shared" si="31"/>
        <v>16</v>
      </c>
      <c r="AA119" s="143">
        <v>0</v>
      </c>
    </row>
    <row r="120" spans="2:38" outlineLevel="1">
      <c r="C120" s="37"/>
      <c r="D120" s="37"/>
      <c r="E120" s="233" t="str">
        <f>IF(E$4&lt;$Z120,"",IF(SUM($D120:D120)&lt;$AA120,IF('Control Panel'!$C$79=0,0,$AA120/'Control Panel'!$C$79),0))</f>
        <v/>
      </c>
      <c r="F120" s="234" t="str">
        <f>IF(F$4&lt;$Z120,"",IF(SUM($D120:E120)&lt;$AA120,IF('Control Panel'!$C$79=0,0,$AA120/'Control Panel'!$C$79),0))</f>
        <v/>
      </c>
      <c r="G120" s="234" t="str">
        <f>IF(G$4&lt;$Z120,"",IF(SUM($D120:F120)&lt;$AA120,IF('Control Panel'!$C$79=0,0,$AA120/'Control Panel'!$C$79),0))</f>
        <v/>
      </c>
      <c r="H120" s="234" t="str">
        <f>IF(H$4&lt;$Z120,"",IF(SUM($D120:G120)&lt;$AA120,IF('Control Panel'!$C$79=0,0,$AA120/'Control Panel'!$C$79),0))</f>
        <v/>
      </c>
      <c r="I120" s="234" t="str">
        <f>IF(I$4&lt;$Z120,"",IF(SUM($D120:H120)&lt;$AA120,IF('Control Panel'!$C$79=0,0,$AA120/'Control Panel'!$C$79),0))</f>
        <v/>
      </c>
      <c r="J120" s="234" t="str">
        <f>IF(J$4&lt;$Z120,"",IF(SUM($D120:I120)&lt;$AA120,IF('Control Panel'!$C$79=0,0,$AA120/'Control Panel'!$C$79),0))</f>
        <v/>
      </c>
      <c r="K120" s="234" t="str">
        <f>IF(K$4&lt;$Z120,"",IF(SUM($D120:J120)&lt;$AA120,IF('Control Panel'!$C$79=0,0,$AA120/'Control Panel'!$C$79),0))</f>
        <v/>
      </c>
      <c r="L120" s="234" t="str">
        <f>IF(L$4&lt;$Z120,"",IF(SUM($D120:K120)&lt;$AA120,IF('Control Panel'!$C$79=0,0,$AA120/'Control Panel'!$C$79),0))</f>
        <v/>
      </c>
      <c r="M120" s="234" t="str">
        <f>IF(M$4&lt;$Z120,"",IF(SUM($D120:L120)&lt;$AA120,IF('Control Panel'!$C$79=0,0,$AA120/'Control Panel'!$C$79),0))</f>
        <v/>
      </c>
      <c r="N120" s="234" t="str">
        <f>IF(N$4&lt;$Z120,"",IF(SUM($D120:M120)&lt;$AA120,IF('Control Panel'!$C$79=0,0,$AA120/'Control Panel'!$C$79),0))</f>
        <v/>
      </c>
      <c r="O120" s="234" t="str">
        <f>IF(O$4&lt;$Z120,"",IF(SUM($D120:N120)&lt;$AA120,IF('Control Panel'!$C$79=0,0,$AA120/'Control Panel'!$C$79),0))</f>
        <v/>
      </c>
      <c r="P120" s="234" t="str">
        <f>IF(P$4&lt;$Z120,"",IF(SUM($D120:O120)&lt;$AA120,IF('Control Panel'!$C$79=0,0,$AA120/'Control Panel'!$C$79),0))</f>
        <v/>
      </c>
      <c r="Q120" s="234" t="str">
        <f>IF(Q$4&lt;$Z120,"",IF(SUM($D120:P120)&lt;$AA120,IF('Control Panel'!$C$79=0,0,$AA120/'Control Panel'!$C$79),0))</f>
        <v/>
      </c>
      <c r="R120" s="234" t="str">
        <f>IF(R$4&lt;$Z120,"",IF(SUM($D120:Q120)&lt;$AA120,IF('Control Panel'!$C$79=0,0,$AA120/'Control Panel'!$C$79),0))</f>
        <v/>
      </c>
      <c r="S120" s="234" t="str">
        <f>IF(S$4&lt;$Z120,"",IF(SUM($D120:R120)&lt;$AA120,IF('Control Panel'!$C$79=0,0,$AA120/'Control Panel'!$C$79),0))</f>
        <v/>
      </c>
      <c r="T120" s="234" t="str">
        <f>IF(T$4&lt;$Z120,"",IF(SUM($D120:S120)&lt;$AA120,IF('Control Panel'!$C$79=0,0,$AA120/'Control Panel'!$C$79),0))</f>
        <v/>
      </c>
      <c r="U120" s="234">
        <f>IF(U$4&lt;$Z120,"",IF(SUM($D120:T120)&lt;$AA120,IF('Control Panel'!$C$79=0,0,$AA120/'Control Panel'!$C$79),0))</f>
        <v>0</v>
      </c>
      <c r="V120" s="234">
        <f>IF(V$4&lt;$Z120,"",IF(SUM($D120:U120)&lt;$AA120,IF('Control Panel'!$C$79=0,0,$AA120/'Control Panel'!$C$79),0))</f>
        <v>0</v>
      </c>
      <c r="W120" s="234">
        <f>IF(W$4&lt;$Z120,"",IF(SUM($D120:V120)&lt;$AA120,IF('Control Panel'!$C$79=0,0,$AA120/'Control Panel'!$C$79),0))</f>
        <v>0</v>
      </c>
      <c r="X120" s="235">
        <f>IF(X$4&lt;$Z120,"",IF(SUM($D120:W120)&lt;$AA120,IF('Control Panel'!$C$79=0,0,$AA120/'Control Panel'!$C$79),0))</f>
        <v>0</v>
      </c>
      <c r="Y120" s="143"/>
      <c r="Z120" s="232">
        <f t="shared" si="31"/>
        <v>17</v>
      </c>
      <c r="AA120" s="143">
        <v>0</v>
      </c>
    </row>
    <row r="121" spans="2:38" outlineLevel="1">
      <c r="C121" s="37"/>
      <c r="D121" s="37"/>
      <c r="E121" s="233" t="str">
        <f>IF(E$4&lt;$Z121,"",IF(SUM($D121:D121)&lt;$AA121,IF('Control Panel'!$C$79=0,0,$AA121/'Control Panel'!$C$79),0))</f>
        <v/>
      </c>
      <c r="F121" s="234" t="str">
        <f>IF(F$4&lt;$Z121,"",IF(SUM($D121:E121)&lt;$AA121,IF('Control Panel'!$C$79=0,0,$AA121/'Control Panel'!$C$79),0))</f>
        <v/>
      </c>
      <c r="G121" s="234" t="str">
        <f>IF(G$4&lt;$Z121,"",IF(SUM($D121:F121)&lt;$AA121,IF('Control Panel'!$C$79=0,0,$AA121/'Control Panel'!$C$79),0))</f>
        <v/>
      </c>
      <c r="H121" s="234" t="str">
        <f>IF(H$4&lt;$Z121,"",IF(SUM($D121:G121)&lt;$AA121,IF('Control Panel'!$C$79=0,0,$AA121/'Control Panel'!$C$79),0))</f>
        <v/>
      </c>
      <c r="I121" s="234" t="str">
        <f>IF(I$4&lt;$Z121,"",IF(SUM($D121:H121)&lt;$AA121,IF('Control Panel'!$C$79=0,0,$AA121/'Control Panel'!$C$79),0))</f>
        <v/>
      </c>
      <c r="J121" s="234" t="str">
        <f>IF(J$4&lt;$Z121,"",IF(SUM($D121:I121)&lt;$AA121,IF('Control Panel'!$C$79=0,0,$AA121/'Control Panel'!$C$79),0))</f>
        <v/>
      </c>
      <c r="K121" s="234" t="str">
        <f>IF(K$4&lt;$Z121,"",IF(SUM($D121:J121)&lt;$AA121,IF('Control Panel'!$C$79=0,0,$AA121/'Control Panel'!$C$79),0))</f>
        <v/>
      </c>
      <c r="L121" s="234" t="str">
        <f>IF(L$4&lt;$Z121,"",IF(SUM($D121:K121)&lt;$AA121,IF('Control Panel'!$C$79=0,0,$AA121/'Control Panel'!$C$79),0))</f>
        <v/>
      </c>
      <c r="M121" s="234" t="str">
        <f>IF(M$4&lt;$Z121,"",IF(SUM($D121:L121)&lt;$AA121,IF('Control Panel'!$C$79=0,0,$AA121/'Control Panel'!$C$79),0))</f>
        <v/>
      </c>
      <c r="N121" s="234" t="str">
        <f>IF(N$4&lt;$Z121,"",IF(SUM($D121:M121)&lt;$AA121,IF('Control Panel'!$C$79=0,0,$AA121/'Control Panel'!$C$79),0))</f>
        <v/>
      </c>
      <c r="O121" s="234" t="str">
        <f>IF(O$4&lt;$Z121,"",IF(SUM($D121:N121)&lt;$AA121,IF('Control Panel'!$C$79=0,0,$AA121/'Control Panel'!$C$79),0))</f>
        <v/>
      </c>
      <c r="P121" s="234" t="str">
        <f>IF(P$4&lt;$Z121,"",IF(SUM($D121:O121)&lt;$AA121,IF('Control Panel'!$C$79=0,0,$AA121/'Control Panel'!$C$79),0))</f>
        <v/>
      </c>
      <c r="Q121" s="234" t="str">
        <f>IF(Q$4&lt;$Z121,"",IF(SUM($D121:P121)&lt;$AA121,IF('Control Panel'!$C$79=0,0,$AA121/'Control Panel'!$C$79),0))</f>
        <v/>
      </c>
      <c r="R121" s="234" t="str">
        <f>IF(R$4&lt;$Z121,"",IF(SUM($D121:Q121)&lt;$AA121,IF('Control Panel'!$C$79=0,0,$AA121/'Control Panel'!$C$79),0))</f>
        <v/>
      </c>
      <c r="S121" s="234" t="str">
        <f>IF(S$4&lt;$Z121,"",IF(SUM($D121:R121)&lt;$AA121,IF('Control Panel'!$C$79=0,0,$AA121/'Control Panel'!$C$79),0))</f>
        <v/>
      </c>
      <c r="T121" s="234" t="str">
        <f>IF(T$4&lt;$Z121,"",IF(SUM($D121:S121)&lt;$AA121,IF('Control Panel'!$C$79=0,0,$AA121/'Control Panel'!$C$79),0))</f>
        <v/>
      </c>
      <c r="U121" s="234" t="str">
        <f>IF(U$4&lt;$Z121,"",IF(SUM($D121:T121)&lt;$AA121,IF('Control Panel'!$C$79=0,0,$AA121/'Control Panel'!$C$79),0))</f>
        <v/>
      </c>
      <c r="V121" s="234">
        <f>IF(V$4&lt;$Z121,"",IF(SUM($D121:U121)&lt;$AA121,IF('Control Panel'!$C$79=0,0,$AA121/'Control Panel'!$C$79),0))</f>
        <v>0</v>
      </c>
      <c r="W121" s="234">
        <f>IF(W$4&lt;$Z121,"",IF(SUM($D121:V121)&lt;$AA121,IF('Control Panel'!$C$79=0,0,$AA121/'Control Panel'!$C$79),0))</f>
        <v>0</v>
      </c>
      <c r="X121" s="235">
        <f>IF(X$4&lt;$Z121,"",IF(SUM($D121:W121)&lt;$AA121,IF('Control Panel'!$C$79=0,0,$AA121/'Control Panel'!$C$79),0))</f>
        <v>0</v>
      </c>
      <c r="Y121" s="143"/>
      <c r="Z121" s="232">
        <f t="shared" si="31"/>
        <v>18</v>
      </c>
      <c r="AA121" s="143">
        <v>0</v>
      </c>
    </row>
    <row r="122" spans="2:38" outlineLevel="1">
      <c r="C122" s="37"/>
      <c r="D122" s="37"/>
      <c r="E122" s="233" t="str">
        <f>IF(E$4&lt;$Z122,"",IF(SUM($D122:D122)&lt;$AA122,IF('Control Panel'!$C$79=0,0,$AA122/'Control Panel'!$C$79),0))</f>
        <v/>
      </c>
      <c r="F122" s="234" t="str">
        <f>IF(F$4&lt;$Z122,"",IF(SUM($D122:E122)&lt;$AA122,IF('Control Panel'!$C$79=0,0,$AA122/'Control Panel'!$C$79),0))</f>
        <v/>
      </c>
      <c r="G122" s="234" t="str">
        <f>IF(G$4&lt;$Z122,"",IF(SUM($D122:F122)&lt;$AA122,IF('Control Panel'!$C$79=0,0,$AA122/'Control Panel'!$C$79),0))</f>
        <v/>
      </c>
      <c r="H122" s="234" t="str">
        <f>IF(H$4&lt;$Z122,"",IF(SUM($D122:G122)&lt;$AA122,IF('Control Panel'!$C$79=0,0,$AA122/'Control Panel'!$C$79),0))</f>
        <v/>
      </c>
      <c r="I122" s="234" t="str">
        <f>IF(I$4&lt;$Z122,"",IF(SUM($D122:H122)&lt;$AA122,IF('Control Panel'!$C$79=0,0,$AA122/'Control Panel'!$C$79),0))</f>
        <v/>
      </c>
      <c r="J122" s="234" t="str">
        <f>IF(J$4&lt;$Z122,"",IF(SUM($D122:I122)&lt;$AA122,IF('Control Panel'!$C$79=0,0,$AA122/'Control Panel'!$C$79),0))</f>
        <v/>
      </c>
      <c r="K122" s="234" t="str">
        <f>IF(K$4&lt;$Z122,"",IF(SUM($D122:J122)&lt;$AA122,IF('Control Panel'!$C$79=0,0,$AA122/'Control Panel'!$C$79),0))</f>
        <v/>
      </c>
      <c r="L122" s="234" t="str">
        <f>IF(L$4&lt;$Z122,"",IF(SUM($D122:K122)&lt;$AA122,IF('Control Panel'!$C$79=0,0,$AA122/'Control Panel'!$C$79),0))</f>
        <v/>
      </c>
      <c r="M122" s="234" t="str">
        <f>IF(M$4&lt;$Z122,"",IF(SUM($D122:L122)&lt;$AA122,IF('Control Panel'!$C$79=0,0,$AA122/'Control Panel'!$C$79),0))</f>
        <v/>
      </c>
      <c r="N122" s="234" t="str">
        <f>IF(N$4&lt;$Z122,"",IF(SUM($D122:M122)&lt;$AA122,IF('Control Panel'!$C$79=0,0,$AA122/'Control Panel'!$C$79),0))</f>
        <v/>
      </c>
      <c r="O122" s="234" t="str">
        <f>IF(O$4&lt;$Z122,"",IF(SUM($D122:N122)&lt;$AA122,IF('Control Panel'!$C$79=0,0,$AA122/'Control Panel'!$C$79),0))</f>
        <v/>
      </c>
      <c r="P122" s="234" t="str">
        <f>IF(P$4&lt;$Z122,"",IF(SUM($D122:O122)&lt;$AA122,IF('Control Panel'!$C$79=0,0,$AA122/'Control Panel'!$C$79),0))</f>
        <v/>
      </c>
      <c r="Q122" s="234" t="str">
        <f>IF(Q$4&lt;$Z122,"",IF(SUM($D122:P122)&lt;$AA122,IF('Control Panel'!$C$79=0,0,$AA122/'Control Panel'!$C$79),0))</f>
        <v/>
      </c>
      <c r="R122" s="234" t="str">
        <f>IF(R$4&lt;$Z122,"",IF(SUM($D122:Q122)&lt;$AA122,IF('Control Panel'!$C$79=0,0,$AA122/'Control Panel'!$C$79),0))</f>
        <v/>
      </c>
      <c r="S122" s="234" t="str">
        <f>IF(S$4&lt;$Z122,"",IF(SUM($D122:R122)&lt;$AA122,IF('Control Panel'!$C$79=0,0,$AA122/'Control Panel'!$C$79),0))</f>
        <v/>
      </c>
      <c r="T122" s="234" t="str">
        <f>IF(T$4&lt;$Z122,"",IF(SUM($D122:S122)&lt;$AA122,IF('Control Panel'!$C$79=0,0,$AA122/'Control Panel'!$C$79),0))</f>
        <v/>
      </c>
      <c r="U122" s="234" t="str">
        <f>IF(U$4&lt;$Z122,"",IF(SUM($D122:T122)&lt;$AA122,IF('Control Panel'!$C$79=0,0,$AA122/'Control Panel'!$C$79),0))</f>
        <v/>
      </c>
      <c r="V122" s="234" t="str">
        <f>IF(V$4&lt;$Z122,"",IF(SUM($D122:U122)&lt;$AA122,IF('Control Panel'!$C$79=0,0,$AA122/'Control Panel'!$C$79),0))</f>
        <v/>
      </c>
      <c r="W122" s="234">
        <f>IF(W$4&lt;$Z122,"",IF(SUM($D122:V122)&lt;$AA122,IF('Control Panel'!$C$79=0,0,$AA122/'Control Panel'!$C$79),0))</f>
        <v>0</v>
      </c>
      <c r="X122" s="235">
        <f>IF(X$4&lt;$Z122,"",IF(SUM($D122:W122)&lt;$AA122,IF('Control Panel'!$C$79=0,0,$AA122/'Control Panel'!$C$79),0))</f>
        <v>0</v>
      </c>
      <c r="Y122" s="143"/>
      <c r="Z122" s="232">
        <f t="shared" si="31"/>
        <v>19</v>
      </c>
      <c r="AA122" s="143">
        <v>0</v>
      </c>
    </row>
    <row r="123" spans="2:38" outlineLevel="1">
      <c r="C123" s="37"/>
      <c r="D123" s="37"/>
      <c r="E123" s="237" t="str">
        <f>IF(E$4&lt;$Z123,"",IF(SUM($D123:D123)&lt;$AA123,IF('Control Panel'!$C$79=0,0,$AA123/'Control Panel'!$C$79),0))</f>
        <v/>
      </c>
      <c r="F123" s="158" t="str">
        <f>IF(F$4&lt;$Z123,"",IF(SUM($D123:E123)&lt;$AA123,IF('Control Panel'!$C$79=0,0,$AA123/'Control Panel'!$C$79),0))</f>
        <v/>
      </c>
      <c r="G123" s="158" t="str">
        <f>IF(G$4&lt;$Z123,"",IF(SUM($D123:F123)&lt;$AA123,IF('Control Panel'!$C$79=0,0,$AA123/'Control Panel'!$C$79),0))</f>
        <v/>
      </c>
      <c r="H123" s="158" t="str">
        <f>IF(H$4&lt;$Z123,"",IF(SUM($D123:G123)&lt;$AA123,IF('Control Panel'!$C$79=0,0,$AA123/'Control Panel'!$C$79),0))</f>
        <v/>
      </c>
      <c r="I123" s="158" t="str">
        <f>IF(I$4&lt;$Z123,"",IF(SUM($D123:H123)&lt;$AA123,IF('Control Panel'!$C$79=0,0,$AA123/'Control Panel'!$C$79),0))</f>
        <v/>
      </c>
      <c r="J123" s="158" t="str">
        <f>IF(J$4&lt;$Z123,"",IF(SUM($D123:I123)&lt;$AA123,IF('Control Panel'!$C$79=0,0,$AA123/'Control Panel'!$C$79),0))</f>
        <v/>
      </c>
      <c r="K123" s="158" t="str">
        <f>IF(K$4&lt;$Z123,"",IF(SUM($D123:J123)&lt;$AA123,IF('Control Panel'!$C$79=0,0,$AA123/'Control Panel'!$C$79),0))</f>
        <v/>
      </c>
      <c r="L123" s="158" t="str">
        <f>IF(L$4&lt;$Z123,"",IF(SUM($D123:K123)&lt;$AA123,IF('Control Panel'!$C$79=0,0,$AA123/'Control Panel'!$C$79),0))</f>
        <v/>
      </c>
      <c r="M123" s="158" t="str">
        <f>IF(M$4&lt;$Z123,"",IF(SUM($D123:L123)&lt;$AA123,IF('Control Panel'!$C$79=0,0,$AA123/'Control Panel'!$C$79),0))</f>
        <v/>
      </c>
      <c r="N123" s="158" t="str">
        <f>IF(N$4&lt;$Z123,"",IF(SUM($D123:M123)&lt;$AA123,IF('Control Panel'!$C$79=0,0,$AA123/'Control Panel'!$C$79),0))</f>
        <v/>
      </c>
      <c r="O123" s="158" t="str">
        <f>IF(O$4&lt;$Z123,"",IF(SUM($D123:N123)&lt;$AA123,IF('Control Panel'!$C$79=0,0,$AA123/'Control Panel'!$C$79),0))</f>
        <v/>
      </c>
      <c r="P123" s="158" t="str">
        <f>IF(P$4&lt;$Z123,"",IF(SUM($D123:O123)&lt;$AA123,IF('Control Panel'!$C$79=0,0,$AA123/'Control Panel'!$C$79),0))</f>
        <v/>
      </c>
      <c r="Q123" s="158" t="str">
        <f>IF(Q$4&lt;$Z123,"",IF(SUM($D123:P123)&lt;$AA123,IF('Control Panel'!$C$79=0,0,$AA123/'Control Panel'!$C$79),0))</f>
        <v/>
      </c>
      <c r="R123" s="158" t="str">
        <f>IF(R$4&lt;$Z123,"",IF(SUM($D123:Q123)&lt;$AA123,IF('Control Panel'!$C$79=0,0,$AA123/'Control Panel'!$C$79),0))</f>
        <v/>
      </c>
      <c r="S123" s="158" t="str">
        <f>IF(S$4&lt;$Z123,"",IF(SUM($D123:R123)&lt;$AA123,IF('Control Panel'!$C$79=0,0,$AA123/'Control Panel'!$C$79),0))</f>
        <v/>
      </c>
      <c r="T123" s="158" t="str">
        <f>IF(T$4&lt;$Z123,"",IF(SUM($D123:S123)&lt;$AA123,IF('Control Panel'!$C$79=0,0,$AA123/'Control Panel'!$C$79),0))</f>
        <v/>
      </c>
      <c r="U123" s="158" t="str">
        <f>IF(U$4&lt;$Z123,"",IF(SUM($D123:T123)&lt;$AA123,IF('Control Panel'!$C$79=0,0,$AA123/'Control Panel'!$C$79),0))</f>
        <v/>
      </c>
      <c r="V123" s="158" t="str">
        <f>IF(V$4&lt;$Z123,"",IF(SUM($D123:U123)&lt;$AA123,IF('Control Panel'!$C$79=0,0,$AA123/'Control Panel'!$C$79),0))</f>
        <v/>
      </c>
      <c r="W123" s="158" t="str">
        <f>IF(W$4&lt;$Z123,"",IF(SUM($D123:V123)&lt;$AA123,IF('Control Panel'!$C$79=0,0,$AA123/'Control Panel'!$C$79),0))</f>
        <v/>
      </c>
      <c r="X123" s="238">
        <f>IF(X$4&lt;$Z123,"",IF(SUM($D123:W123)&lt;$AA123,IF('Control Panel'!$C$79=0,0,$AA123/'Control Panel'!$C$79),0))</f>
        <v>0</v>
      </c>
      <c r="Y123" s="143"/>
      <c r="Z123" s="232">
        <f t="shared" si="31"/>
        <v>20</v>
      </c>
      <c r="AA123" s="143">
        <v>0</v>
      </c>
    </row>
    <row r="124" spans="2:38" outlineLevel="1">
      <c r="C124" s="37"/>
      <c r="D124" s="37"/>
      <c r="E124" s="236">
        <f>SUM(E104:E123)</f>
        <v>3312500</v>
      </c>
      <c r="F124" s="236">
        <f>SUM(F104:F123)</f>
        <v>6625000</v>
      </c>
      <c r="G124" s="236">
        <f t="shared" ref="G124:X124" si="32">SUM(G104:G123)</f>
        <v>13250000</v>
      </c>
      <c r="H124" s="236">
        <f t="shared" si="32"/>
        <v>13250000</v>
      </c>
      <c r="I124" s="236">
        <f t="shared" si="32"/>
        <v>13250000</v>
      </c>
      <c r="J124" s="236">
        <f t="shared" si="32"/>
        <v>13250000</v>
      </c>
      <c r="K124" s="236">
        <f t="shared" si="32"/>
        <v>9937500</v>
      </c>
      <c r="L124" s="236">
        <f t="shared" si="32"/>
        <v>6625000</v>
      </c>
      <c r="M124" s="236">
        <f t="shared" si="32"/>
        <v>0</v>
      </c>
      <c r="N124" s="236">
        <f t="shared" si="32"/>
        <v>0</v>
      </c>
      <c r="O124" s="236">
        <f t="shared" si="32"/>
        <v>0</v>
      </c>
      <c r="P124" s="236">
        <f t="shared" si="32"/>
        <v>0</v>
      </c>
      <c r="Q124" s="236">
        <f t="shared" si="32"/>
        <v>0</v>
      </c>
      <c r="R124" s="236">
        <f t="shared" si="32"/>
        <v>0</v>
      </c>
      <c r="S124" s="236">
        <f t="shared" si="32"/>
        <v>0</v>
      </c>
      <c r="T124" s="236">
        <f t="shared" si="32"/>
        <v>0</v>
      </c>
      <c r="U124" s="236">
        <f t="shared" si="32"/>
        <v>0</v>
      </c>
      <c r="V124" s="236">
        <f t="shared" si="32"/>
        <v>0</v>
      </c>
      <c r="W124" s="236">
        <f t="shared" si="32"/>
        <v>0</v>
      </c>
      <c r="X124" s="236">
        <f t="shared" si="32"/>
        <v>0</v>
      </c>
      <c r="Y124" s="143"/>
      <c r="Z124" s="143"/>
      <c r="AA124" s="143"/>
    </row>
    <row r="125" spans="2:38">
      <c r="C125" s="37"/>
      <c r="D125" s="37"/>
    </row>
    <row r="126" spans="2:38" s="222" customFormat="1">
      <c r="B126" s="223" t="s">
        <v>155</v>
      </c>
      <c r="C126" s="69"/>
      <c r="D126" s="69"/>
      <c r="E126" s="227"/>
      <c r="F126" s="227"/>
      <c r="G126" s="227"/>
      <c r="H126" s="227"/>
      <c r="I126" s="227"/>
      <c r="J126" s="227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U126" s="227"/>
      <c r="V126" s="227"/>
      <c r="W126" s="227"/>
      <c r="X126" s="227"/>
      <c r="Y126" s="227"/>
      <c r="Z126" s="227"/>
      <c r="AA126" s="228"/>
      <c r="AB126" s="115"/>
      <c r="AC126" s="115"/>
      <c r="AD126" s="115"/>
      <c r="AE126" s="115"/>
      <c r="AF126" s="115"/>
      <c r="AG126" s="115"/>
      <c r="AH126" s="115"/>
      <c r="AI126" s="115"/>
      <c r="AJ126" s="115"/>
      <c r="AK126" s="115"/>
      <c r="AL126" s="115"/>
    </row>
    <row r="127" spans="2:38" outlineLevel="1">
      <c r="B127" s="191" t="s">
        <v>156</v>
      </c>
      <c r="C127" s="37"/>
      <c r="D127" s="37"/>
      <c r="E127" s="143">
        <f>'Assumptions Processing'!E11</f>
        <v>150000000</v>
      </c>
      <c r="F127" s="143">
        <f>'Assumptions Processing'!F11</f>
        <v>150000000</v>
      </c>
      <c r="G127" s="143">
        <f>'Assumptions Processing'!G11</f>
        <v>300000000</v>
      </c>
      <c r="H127" s="143">
        <f>'Assumptions Processing'!H11</f>
        <v>0</v>
      </c>
      <c r="I127" s="143">
        <f>'Assumptions Processing'!I11</f>
        <v>0</v>
      </c>
      <c r="J127" s="143">
        <f>'Assumptions Processing'!J11</f>
        <v>0</v>
      </c>
      <c r="K127" s="143">
        <f>'Assumptions Processing'!K11</f>
        <v>0</v>
      </c>
      <c r="L127" s="143">
        <f>'Assumptions Processing'!L11</f>
        <v>0</v>
      </c>
      <c r="M127" s="143">
        <f>'Assumptions Processing'!M11</f>
        <v>0</v>
      </c>
      <c r="N127" s="143">
        <f>'Assumptions Processing'!N11</f>
        <v>0</v>
      </c>
      <c r="O127" s="143">
        <f>'Assumptions Processing'!O11</f>
        <v>0</v>
      </c>
      <c r="P127" s="143">
        <f>'Assumptions Processing'!P11</f>
        <v>0</v>
      </c>
      <c r="Q127" s="143">
        <f>'Assumptions Processing'!Q11</f>
        <v>0</v>
      </c>
      <c r="R127" s="143">
        <f>'Assumptions Processing'!R11</f>
        <v>0</v>
      </c>
      <c r="S127" s="143">
        <f>'Assumptions Processing'!S11</f>
        <v>0</v>
      </c>
      <c r="T127" s="143">
        <f>'Assumptions Processing'!T11</f>
        <v>0</v>
      </c>
      <c r="U127" s="143">
        <f>'Assumptions Processing'!U11</f>
        <v>0</v>
      </c>
      <c r="V127" s="143">
        <f>'Assumptions Processing'!V11</f>
        <v>0</v>
      </c>
      <c r="W127" s="143">
        <f>'Assumptions Processing'!W11</f>
        <v>0</v>
      </c>
      <c r="X127" s="143">
        <f>'Assumptions Processing'!X11</f>
        <v>0</v>
      </c>
      <c r="Y127" s="143"/>
      <c r="Z127" s="143"/>
      <c r="AA127" s="143"/>
    </row>
    <row r="128" spans="2:38" outlineLevel="1">
      <c r="B128" s="191" t="s">
        <v>157</v>
      </c>
      <c r="C128" s="37"/>
      <c r="D128" s="37"/>
      <c r="E128" s="143">
        <f>'Assumptions Processing'!E11*(1-$C$8)</f>
        <v>119250000</v>
      </c>
      <c r="F128" s="143">
        <f>'Assumptions Processing'!F11*(1-$C$8)</f>
        <v>119250000</v>
      </c>
      <c r="G128" s="143">
        <f>'Assumptions Processing'!G11*(1-$C$8)</f>
        <v>238500000</v>
      </c>
      <c r="H128" s="143">
        <f>'Assumptions Processing'!H11*(1-$C$8)</f>
        <v>0</v>
      </c>
      <c r="I128" s="143">
        <f>'Assumptions Processing'!I11*(1-$C$8)</f>
        <v>0</v>
      </c>
      <c r="J128" s="143">
        <f>'Assumptions Processing'!J11*(1-$C$8)</f>
        <v>0</v>
      </c>
      <c r="K128" s="143">
        <f>'Assumptions Processing'!K11*(1-$C$8)</f>
        <v>0</v>
      </c>
      <c r="L128" s="143">
        <f>'Assumptions Processing'!L11*(1-$C$8)</f>
        <v>0</v>
      </c>
      <c r="M128" s="143">
        <f>'Assumptions Processing'!M11*(1-$C$8)</f>
        <v>0</v>
      </c>
      <c r="N128" s="143">
        <f>'Assumptions Processing'!N11*(1-$C$8)</f>
        <v>0</v>
      </c>
      <c r="O128" s="143">
        <f>'Assumptions Processing'!O11*(1-$C$8)</f>
        <v>0</v>
      </c>
      <c r="P128" s="143">
        <f>'Assumptions Processing'!P11*(1-$C$8)</f>
        <v>0</v>
      </c>
      <c r="Q128" s="143">
        <f>'Assumptions Processing'!Q11*(1-$C$8)</f>
        <v>0</v>
      </c>
      <c r="R128" s="143">
        <f>'Assumptions Processing'!R11*(1-$C$8)</f>
        <v>0</v>
      </c>
      <c r="S128" s="143">
        <f>'Assumptions Processing'!S11*(1-$C$8)</f>
        <v>0</v>
      </c>
      <c r="T128" s="143">
        <f>'Assumptions Processing'!T11*(1-$C$8)</f>
        <v>0</v>
      </c>
      <c r="U128" s="143">
        <f>'Assumptions Processing'!U11*(1-$C$8)</f>
        <v>0</v>
      </c>
      <c r="V128" s="143">
        <f>'Assumptions Processing'!V11*(1-$C$8)</f>
        <v>0</v>
      </c>
      <c r="W128" s="143">
        <f>'Assumptions Processing'!W11*(1-$C$8)</f>
        <v>0</v>
      </c>
      <c r="X128" s="143">
        <f>'Assumptions Processing'!X11*(1-$C$8)</f>
        <v>0</v>
      </c>
      <c r="Y128" s="143"/>
      <c r="Z128" s="143"/>
      <c r="AA128" s="143" t="s">
        <v>144</v>
      </c>
    </row>
    <row r="129" spans="2:27" outlineLevel="1">
      <c r="B129" s="191"/>
      <c r="C129" s="37"/>
      <c r="D129" s="37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</row>
    <row r="130" spans="2:27" outlineLevel="1">
      <c r="B130" s="191"/>
      <c r="C130" s="37"/>
      <c r="D130" s="37"/>
      <c r="E130" s="225" t="s">
        <v>145</v>
      </c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</row>
    <row r="131" spans="2:27" outlineLevel="1">
      <c r="C131" s="37"/>
      <c r="D131" s="37"/>
      <c r="E131" s="229">
        <f>IF(E$4&lt;$Z131,"",IF(SUM($D131:D131)&lt;$AA131,IF('Control Panel'!$C$80=0,0,$AA131/'Control Panel'!$C$80),0))</f>
        <v>19875000</v>
      </c>
      <c r="F131" s="230">
        <f>IF(F$4&lt;$Z131,"",IF(SUM($D131:E131)&lt;$AA131,IF('Control Panel'!$C$80=0,0,$AA131/'Control Panel'!$C$80),0))</f>
        <v>19875000</v>
      </c>
      <c r="G131" s="230">
        <f>IF(G$4&lt;$Z131,"",IF(SUM($D131:F131)&lt;$AA131,IF('Control Panel'!$C$80=0,0,$AA131/'Control Panel'!$C$80),0))</f>
        <v>19875000</v>
      </c>
      <c r="H131" s="230">
        <f>IF(H$4&lt;$Z131,"",IF(SUM($D131:G131)&lt;$AA131,IF('Control Panel'!$C$80=0,0,$AA131/'Control Panel'!$C$80),0))</f>
        <v>19875000</v>
      </c>
      <c r="I131" s="230">
        <f>IF(I$4&lt;$Z131,"",IF(SUM($D131:H131)&lt;$AA131,IF('Control Panel'!$C$80=0,0,$AA131/'Control Panel'!$C$80),0))</f>
        <v>19875000</v>
      </c>
      <c r="J131" s="230">
        <f>IF(J$4&lt;$Z131,"",IF(SUM($D131:I131)&lt;$AA131,IF('Control Panel'!$C$80=0,0,$AA131/'Control Panel'!$C$80),0))</f>
        <v>19875000</v>
      </c>
      <c r="K131" s="230">
        <f>IF(K$4&lt;$Z131,"",IF(SUM($D131:J131)&lt;$AA131,IF('Control Panel'!$C$80=0,0,$AA131/'Control Panel'!$C$80),0))</f>
        <v>0</v>
      </c>
      <c r="L131" s="230">
        <f>IF(L$4&lt;$Z131,"",IF(SUM($D131:K131)&lt;$AA131,IF('Control Panel'!$C$80=0,0,$AA131/'Control Panel'!$C$80),0))</f>
        <v>0</v>
      </c>
      <c r="M131" s="230">
        <f>IF(M$4&lt;$Z131,"",IF(SUM($D131:L131)&lt;$AA131,IF('Control Panel'!$C$80=0,0,$AA131/'Control Panel'!$C$80),0))</f>
        <v>0</v>
      </c>
      <c r="N131" s="230">
        <f>IF(N$4&lt;$Z131,"",IF(SUM($D131:M131)&lt;$AA131,IF('Control Panel'!$C$80=0,0,$AA131/'Control Panel'!$C$80),0))</f>
        <v>0</v>
      </c>
      <c r="O131" s="230">
        <f>IF(O$4&lt;$Z131,"",IF(SUM($D131:N131)&lt;$AA131,IF('Control Panel'!$C$80=0,0,$AA131/'Control Panel'!$C$80),0))</f>
        <v>0</v>
      </c>
      <c r="P131" s="230">
        <f>IF(P$4&lt;$Z131,"",IF(SUM($D131:O131)&lt;$AA131,IF('Control Panel'!$C$80=0,0,$AA131/'Control Panel'!$C$80),0))</f>
        <v>0</v>
      </c>
      <c r="Q131" s="230">
        <f>IF(Q$4&lt;$Z131,"",IF(SUM($D131:P131)&lt;$AA131,IF('Control Panel'!$C$80=0,0,$AA131/'Control Panel'!$C$80),0))</f>
        <v>0</v>
      </c>
      <c r="R131" s="230">
        <f>IF(R$4&lt;$Z131,"",IF(SUM($D131:Q131)&lt;$AA131,IF('Control Panel'!$C$80=0,0,$AA131/'Control Panel'!$C$80),0))</f>
        <v>0</v>
      </c>
      <c r="S131" s="230">
        <f>IF(S$4&lt;$Z131,"",IF(SUM($D131:R131)&lt;$AA131,IF('Control Panel'!$C$80=0,0,$AA131/'Control Panel'!$C$80),0))</f>
        <v>0</v>
      </c>
      <c r="T131" s="230">
        <f>IF(T$4&lt;$Z131,"",IF(SUM($D131:S131)&lt;$AA131,IF('Control Panel'!$C$80=0,0,$AA131/'Control Panel'!$C$80),0))</f>
        <v>0</v>
      </c>
      <c r="U131" s="230">
        <f>IF(U$4&lt;$Z131,"",IF(SUM($D131:T131)&lt;$AA131,IF('Control Panel'!$C$80=0,0,$AA131/'Control Panel'!$C$80),0))</f>
        <v>0</v>
      </c>
      <c r="V131" s="230">
        <f>IF(V$4&lt;$Z131,"",IF(SUM($D131:U131)&lt;$AA131,IF('Control Panel'!$C$80=0,0,$AA131/'Control Panel'!$C$80),0))</f>
        <v>0</v>
      </c>
      <c r="W131" s="230">
        <f>IF(W$4&lt;$Z131,"",IF(SUM($D131:V131)&lt;$AA131,IF('Control Panel'!$C$80=0,0,$AA131/'Control Panel'!$C$80),0))</f>
        <v>0</v>
      </c>
      <c r="X131" s="231">
        <f>IF(X$4&lt;$Z131,"",IF(SUM($D131:W131)&lt;$AA131,IF('Control Panel'!$C$80=0,0,$AA131/'Control Panel'!$C$80),0))</f>
        <v>0</v>
      </c>
      <c r="Y131" s="143"/>
      <c r="Z131" s="232">
        <v>1</v>
      </c>
      <c r="AA131" s="143">
        <f t="array" ref="AA131:AA150">TRANSPOSE(E128:X128)</f>
        <v>119250000</v>
      </c>
    </row>
    <row r="132" spans="2:27" outlineLevel="1">
      <c r="C132" s="37"/>
      <c r="D132" s="37"/>
      <c r="E132" s="233" t="str">
        <f>IF(E$4&lt;$Z132,"",IF(SUM($D132:D132)&lt;$AA132,IF('Control Panel'!$C$80=0,0,$AA132/'Control Panel'!$C$80),0))</f>
        <v/>
      </c>
      <c r="F132" s="234">
        <f>IF(F$4&lt;$Z132,"",IF(SUM($D132:E132)&lt;$AA132,IF('Control Panel'!$C$80=0,0,$AA132/'Control Panel'!$C$80),0))</f>
        <v>19875000</v>
      </c>
      <c r="G132" s="234">
        <f>IF(G$4&lt;$Z132,"",IF(SUM($D132:F132)&lt;$AA132,IF('Control Panel'!$C$80=0,0,$AA132/'Control Panel'!$C$80),0))</f>
        <v>19875000</v>
      </c>
      <c r="H132" s="234">
        <f>IF(H$4&lt;$Z132,"",IF(SUM($D132:G132)&lt;$AA132,IF('Control Panel'!$C$80=0,0,$AA132/'Control Panel'!$C$80),0))</f>
        <v>19875000</v>
      </c>
      <c r="I132" s="234">
        <f>IF(I$4&lt;$Z132,"",IF(SUM($D132:H132)&lt;$AA132,IF('Control Panel'!$C$80=0,0,$AA132/'Control Panel'!$C$80),0))</f>
        <v>19875000</v>
      </c>
      <c r="J132" s="234">
        <f>IF(J$4&lt;$Z132,"",IF(SUM($D132:I132)&lt;$AA132,IF('Control Panel'!$C$80=0,0,$AA132/'Control Panel'!$C$80),0))</f>
        <v>19875000</v>
      </c>
      <c r="K132" s="234">
        <f>IF(K$4&lt;$Z132,"",IF(SUM($D132:J132)&lt;$AA132,IF('Control Panel'!$C$80=0,0,$AA132/'Control Panel'!$C$80),0))</f>
        <v>19875000</v>
      </c>
      <c r="L132" s="234">
        <f>IF(L$4&lt;$Z132,"",IF(SUM($D132:K132)&lt;$AA132,IF('Control Panel'!$C$80=0,0,$AA132/'Control Panel'!$C$80),0))</f>
        <v>0</v>
      </c>
      <c r="M132" s="234">
        <f>IF(M$4&lt;$Z132,"",IF(SUM($D132:L132)&lt;$AA132,IF('Control Panel'!$C$80=0,0,$AA132/'Control Panel'!$C$80),0))</f>
        <v>0</v>
      </c>
      <c r="N132" s="234">
        <f>IF(N$4&lt;$Z132,"",IF(SUM($D132:M132)&lt;$AA132,IF('Control Panel'!$C$80=0,0,$AA132/'Control Panel'!$C$80),0))</f>
        <v>0</v>
      </c>
      <c r="O132" s="234">
        <f>IF(O$4&lt;$Z132,"",IF(SUM($D132:N132)&lt;$AA132,IF('Control Panel'!$C$80=0,0,$AA132/'Control Panel'!$C$80),0))</f>
        <v>0</v>
      </c>
      <c r="P132" s="234">
        <f>IF(P$4&lt;$Z132,"",IF(SUM($D132:O132)&lt;$AA132,IF('Control Panel'!$C$80=0,0,$AA132/'Control Panel'!$C$80),0))</f>
        <v>0</v>
      </c>
      <c r="Q132" s="234">
        <f>IF(Q$4&lt;$Z132,"",IF(SUM($D132:P132)&lt;$AA132,IF('Control Panel'!$C$80=0,0,$AA132/'Control Panel'!$C$80),0))</f>
        <v>0</v>
      </c>
      <c r="R132" s="234">
        <f>IF(R$4&lt;$Z132,"",IF(SUM($D132:Q132)&lt;$AA132,IF('Control Panel'!$C$80=0,0,$AA132/'Control Panel'!$C$80),0))</f>
        <v>0</v>
      </c>
      <c r="S132" s="234">
        <f>IF(S$4&lt;$Z132,"",IF(SUM($D132:R132)&lt;$AA132,IF('Control Panel'!$C$80=0,0,$AA132/'Control Panel'!$C$80),0))</f>
        <v>0</v>
      </c>
      <c r="T132" s="234">
        <f>IF(T$4&lt;$Z132,"",IF(SUM($D132:S132)&lt;$AA132,IF('Control Panel'!$C$80=0,0,$AA132/'Control Panel'!$C$80),0))</f>
        <v>0</v>
      </c>
      <c r="U132" s="234">
        <f>IF(U$4&lt;$Z132,"",IF(SUM($D132:T132)&lt;$AA132,IF('Control Panel'!$C$80=0,0,$AA132/'Control Panel'!$C$80),0))</f>
        <v>0</v>
      </c>
      <c r="V132" s="234">
        <f>IF(V$4&lt;$Z132,"",IF(SUM($D132:U132)&lt;$AA132,IF('Control Panel'!$C$80=0,0,$AA132/'Control Panel'!$C$80),0))</f>
        <v>0</v>
      </c>
      <c r="W132" s="234">
        <f>IF(W$4&lt;$Z132,"",IF(SUM($D132:V132)&lt;$AA132,IF('Control Panel'!$C$80=0,0,$AA132/'Control Panel'!$C$80),0))</f>
        <v>0</v>
      </c>
      <c r="X132" s="235">
        <f>IF(X$4&lt;$Z132,"",IF(SUM($D132:W132)&lt;$AA132,IF('Control Panel'!$C$80=0,0,$AA132/'Control Panel'!$C$80),0))</f>
        <v>0</v>
      </c>
      <c r="Y132" s="143"/>
      <c r="Z132" s="232">
        <f>Z131+1</f>
        <v>2</v>
      </c>
      <c r="AA132" s="143">
        <v>119250000</v>
      </c>
    </row>
    <row r="133" spans="2:27" outlineLevel="1">
      <c r="C133" s="37"/>
      <c r="D133" s="37"/>
      <c r="E133" s="233" t="str">
        <f>IF(E$4&lt;$Z133,"",IF(SUM($D133:D133)&lt;$AA133,IF('Control Panel'!$C$80=0,0,$AA133/'Control Panel'!$C$80),0))</f>
        <v/>
      </c>
      <c r="F133" s="234" t="str">
        <f>IF(F$4&lt;$Z133,"",IF(SUM($D133:E133)&lt;$AA133,IF('Control Panel'!$C$80=0,0,$AA133/'Control Panel'!$C$80),0))</f>
        <v/>
      </c>
      <c r="G133" s="234">
        <f>IF(G$4&lt;$Z133,"",IF(SUM($D133:F133)&lt;$AA133,IF('Control Panel'!$C$80=0,0,$AA133/'Control Panel'!$C$80),0))</f>
        <v>39750000</v>
      </c>
      <c r="H133" s="234">
        <f>IF(H$4&lt;$Z133,"",IF(SUM($D133:G133)&lt;$AA133,IF('Control Panel'!$C$80=0,0,$AA133/'Control Panel'!$C$80),0))</f>
        <v>39750000</v>
      </c>
      <c r="I133" s="234">
        <f>IF(I$4&lt;$Z133,"",IF(SUM($D133:H133)&lt;$AA133,IF('Control Panel'!$C$80=0,0,$AA133/'Control Panel'!$C$80),0))</f>
        <v>39750000</v>
      </c>
      <c r="J133" s="234">
        <f>IF(J$4&lt;$Z133,"",IF(SUM($D133:I133)&lt;$AA133,IF('Control Panel'!$C$80=0,0,$AA133/'Control Panel'!$C$80),0))</f>
        <v>39750000</v>
      </c>
      <c r="K133" s="234">
        <f>IF(K$4&lt;$Z133,"",IF(SUM($D133:J133)&lt;$AA133,IF('Control Panel'!$C$80=0,0,$AA133/'Control Panel'!$C$80),0))</f>
        <v>39750000</v>
      </c>
      <c r="L133" s="234">
        <f>IF(L$4&lt;$Z133,"",IF(SUM($D133:K133)&lt;$AA133,IF('Control Panel'!$C$80=0,0,$AA133/'Control Panel'!$C$80),0))</f>
        <v>39750000</v>
      </c>
      <c r="M133" s="234">
        <f>IF(M$4&lt;$Z133,"",IF(SUM($D133:L133)&lt;$AA133,IF('Control Panel'!$C$80=0,0,$AA133/'Control Panel'!$C$80),0))</f>
        <v>0</v>
      </c>
      <c r="N133" s="234">
        <f>IF(N$4&lt;$Z133,"",IF(SUM($D133:M133)&lt;$AA133,IF('Control Panel'!$C$80=0,0,$AA133/'Control Panel'!$C$80),0))</f>
        <v>0</v>
      </c>
      <c r="O133" s="234">
        <f>IF(O$4&lt;$Z133,"",IF(SUM($D133:N133)&lt;$AA133,IF('Control Panel'!$C$80=0,0,$AA133/'Control Panel'!$C$80),0))</f>
        <v>0</v>
      </c>
      <c r="P133" s="234">
        <f>IF(P$4&lt;$Z133,"",IF(SUM($D133:O133)&lt;$AA133,IF('Control Panel'!$C$80=0,0,$AA133/'Control Panel'!$C$80),0))</f>
        <v>0</v>
      </c>
      <c r="Q133" s="234">
        <f>IF(Q$4&lt;$Z133,"",IF(SUM($D133:P133)&lt;$AA133,IF('Control Panel'!$C$80=0,0,$AA133/'Control Panel'!$C$80),0))</f>
        <v>0</v>
      </c>
      <c r="R133" s="234">
        <f>IF(R$4&lt;$Z133,"",IF(SUM($D133:Q133)&lt;$AA133,IF('Control Panel'!$C$80=0,0,$AA133/'Control Panel'!$C$80),0))</f>
        <v>0</v>
      </c>
      <c r="S133" s="234">
        <f>IF(S$4&lt;$Z133,"",IF(SUM($D133:R133)&lt;$AA133,IF('Control Panel'!$C$80=0,0,$AA133/'Control Panel'!$C$80),0))</f>
        <v>0</v>
      </c>
      <c r="T133" s="234">
        <f>IF(T$4&lt;$Z133,"",IF(SUM($D133:S133)&lt;$AA133,IF('Control Panel'!$C$80=0,0,$AA133/'Control Panel'!$C$80),0))</f>
        <v>0</v>
      </c>
      <c r="U133" s="234">
        <f>IF(U$4&lt;$Z133,"",IF(SUM($D133:T133)&lt;$AA133,IF('Control Panel'!$C$80=0,0,$AA133/'Control Panel'!$C$80),0))</f>
        <v>0</v>
      </c>
      <c r="V133" s="234">
        <f>IF(V$4&lt;$Z133,"",IF(SUM($D133:U133)&lt;$AA133,IF('Control Panel'!$C$80=0,0,$AA133/'Control Panel'!$C$80),0))</f>
        <v>0</v>
      </c>
      <c r="W133" s="234">
        <f>IF(W$4&lt;$Z133,"",IF(SUM($D133:V133)&lt;$AA133,IF('Control Panel'!$C$80=0,0,$AA133/'Control Panel'!$C$80),0))</f>
        <v>0</v>
      </c>
      <c r="X133" s="235">
        <f>IF(X$4&lt;$Z133,"",IF(SUM($D133:W133)&lt;$AA133,IF('Control Panel'!$C$80=0,0,$AA133/'Control Panel'!$C$80),0))</f>
        <v>0</v>
      </c>
      <c r="Y133" s="143"/>
      <c r="Z133" s="232">
        <f t="shared" ref="Z133:Z150" si="33">Z132+1</f>
        <v>3</v>
      </c>
      <c r="AA133" s="143">
        <v>238500000</v>
      </c>
    </row>
    <row r="134" spans="2:27" outlineLevel="1">
      <c r="C134" s="37"/>
      <c r="D134" s="37"/>
      <c r="E134" s="233" t="str">
        <f>IF(E$4&lt;$Z134,"",IF(SUM($D134:D134)&lt;$AA134,IF('Control Panel'!$C$80=0,0,$AA134/'Control Panel'!$C$80),0))</f>
        <v/>
      </c>
      <c r="F134" s="234" t="str">
        <f>IF(F$4&lt;$Z134,"",IF(SUM($D134:E134)&lt;$AA134,IF('Control Panel'!$C$80=0,0,$AA134/'Control Panel'!$C$80),0))</f>
        <v/>
      </c>
      <c r="G134" s="234" t="str">
        <f>IF(G$4&lt;$Z134,"",IF(SUM($D134:F134)&lt;$AA134,IF('Control Panel'!$C$80=0,0,$AA134/'Control Panel'!$C$80),0))</f>
        <v/>
      </c>
      <c r="H134" s="234">
        <f>IF(H$4&lt;$Z134,"",IF(SUM($D134:G134)&lt;$AA134,IF('Control Panel'!$C$80=0,0,$AA134/'Control Panel'!$C$80),0))</f>
        <v>0</v>
      </c>
      <c r="I134" s="234">
        <f>IF(I$4&lt;$Z134,"",IF(SUM($D134:H134)&lt;$AA134,IF('Control Panel'!$C$80=0,0,$AA134/'Control Panel'!$C$80),0))</f>
        <v>0</v>
      </c>
      <c r="J134" s="234">
        <f>IF(J$4&lt;$Z134,"",IF(SUM($D134:I134)&lt;$AA134,IF('Control Panel'!$C$80=0,0,$AA134/'Control Panel'!$C$80),0))</f>
        <v>0</v>
      </c>
      <c r="K134" s="234">
        <f>IF(K$4&lt;$Z134,"",IF(SUM($D134:J134)&lt;$AA134,IF('Control Panel'!$C$80=0,0,$AA134/'Control Panel'!$C$80),0))</f>
        <v>0</v>
      </c>
      <c r="L134" s="234">
        <f>IF(L$4&lt;$Z134,"",IF(SUM($D134:K134)&lt;$AA134,IF('Control Panel'!$C$80=0,0,$AA134/'Control Panel'!$C$80),0))</f>
        <v>0</v>
      </c>
      <c r="M134" s="234">
        <f>IF(M$4&lt;$Z134,"",IF(SUM($D134:L134)&lt;$AA134,IF('Control Panel'!$C$80=0,0,$AA134/'Control Panel'!$C$80),0))</f>
        <v>0</v>
      </c>
      <c r="N134" s="234">
        <f>IF(N$4&lt;$Z134,"",IF(SUM($D134:M134)&lt;$AA134,IF('Control Panel'!$C$80=0,0,$AA134/'Control Panel'!$C$80),0))</f>
        <v>0</v>
      </c>
      <c r="O134" s="234">
        <f>IF(O$4&lt;$Z134,"",IF(SUM($D134:N134)&lt;$AA134,IF('Control Panel'!$C$80=0,0,$AA134/'Control Panel'!$C$80),0))</f>
        <v>0</v>
      </c>
      <c r="P134" s="234">
        <f>IF(P$4&lt;$Z134,"",IF(SUM($D134:O134)&lt;$AA134,IF('Control Panel'!$C$80=0,0,$AA134/'Control Panel'!$C$80),0))</f>
        <v>0</v>
      </c>
      <c r="Q134" s="234">
        <f>IF(Q$4&lt;$Z134,"",IF(SUM($D134:P134)&lt;$AA134,IF('Control Panel'!$C$80=0,0,$AA134/'Control Panel'!$C$80),0))</f>
        <v>0</v>
      </c>
      <c r="R134" s="234">
        <f>IF(R$4&lt;$Z134,"",IF(SUM($D134:Q134)&lt;$AA134,IF('Control Panel'!$C$80=0,0,$AA134/'Control Panel'!$C$80),0))</f>
        <v>0</v>
      </c>
      <c r="S134" s="234">
        <f>IF(S$4&lt;$Z134,"",IF(SUM($D134:R134)&lt;$AA134,IF('Control Panel'!$C$80=0,0,$AA134/'Control Panel'!$C$80),0))</f>
        <v>0</v>
      </c>
      <c r="T134" s="234">
        <f>IF(T$4&lt;$Z134,"",IF(SUM($D134:S134)&lt;$AA134,IF('Control Panel'!$C$80=0,0,$AA134/'Control Panel'!$C$80),0))</f>
        <v>0</v>
      </c>
      <c r="U134" s="234">
        <f>IF(U$4&lt;$Z134,"",IF(SUM($D134:T134)&lt;$AA134,IF('Control Panel'!$C$80=0,0,$AA134/'Control Panel'!$C$80),0))</f>
        <v>0</v>
      </c>
      <c r="V134" s="234">
        <f>IF(V$4&lt;$Z134,"",IF(SUM($D134:U134)&lt;$AA134,IF('Control Panel'!$C$80=0,0,$AA134/'Control Panel'!$C$80),0))</f>
        <v>0</v>
      </c>
      <c r="W134" s="234">
        <f>IF(W$4&lt;$Z134,"",IF(SUM($D134:V134)&lt;$AA134,IF('Control Panel'!$C$80=0,0,$AA134/'Control Panel'!$C$80),0))</f>
        <v>0</v>
      </c>
      <c r="X134" s="235">
        <f>IF(X$4&lt;$Z134,"",IF(SUM($D134:W134)&lt;$AA134,IF('Control Panel'!$C$80=0,0,$AA134/'Control Panel'!$C$80),0))</f>
        <v>0</v>
      </c>
      <c r="Y134" s="143"/>
      <c r="Z134" s="232">
        <f t="shared" si="33"/>
        <v>4</v>
      </c>
      <c r="AA134" s="143">
        <v>0</v>
      </c>
    </row>
    <row r="135" spans="2:27" outlineLevel="1">
      <c r="C135" s="37"/>
      <c r="D135" s="37"/>
      <c r="E135" s="233" t="str">
        <f>IF(E$4&lt;$Z135,"",IF(SUM($D135:D135)&lt;$AA135,IF('Control Panel'!$C$80=0,0,$AA135/'Control Panel'!$C$80),0))</f>
        <v/>
      </c>
      <c r="F135" s="234" t="str">
        <f>IF(F$4&lt;$Z135,"",IF(SUM($D135:E135)&lt;$AA135,IF('Control Panel'!$C$80=0,0,$AA135/'Control Panel'!$C$80),0))</f>
        <v/>
      </c>
      <c r="G135" s="234" t="str">
        <f>IF(G$4&lt;$Z135,"",IF(SUM($D135:F135)&lt;$AA135,IF('Control Panel'!$C$80=0,0,$AA135/'Control Panel'!$C$80),0))</f>
        <v/>
      </c>
      <c r="H135" s="234" t="str">
        <f>IF(H$4&lt;$Z135,"",IF(SUM($D135:G135)&lt;$AA135,IF('Control Panel'!$C$80=0,0,$AA135/'Control Panel'!$C$80),0))</f>
        <v/>
      </c>
      <c r="I135" s="234">
        <f>IF(I$4&lt;$Z135,"",IF(SUM($D135:H135)&lt;$AA135,IF('Control Panel'!$C$80=0,0,$AA135/'Control Panel'!$C$80),0))</f>
        <v>0</v>
      </c>
      <c r="J135" s="234">
        <f>IF(J$4&lt;$Z135,"",IF(SUM($D135:I135)&lt;$AA135,IF('Control Panel'!$C$80=0,0,$AA135/'Control Panel'!$C$80),0))</f>
        <v>0</v>
      </c>
      <c r="K135" s="234">
        <f>IF(K$4&lt;$Z135,"",IF(SUM($D135:J135)&lt;$AA135,IF('Control Panel'!$C$80=0,0,$AA135/'Control Panel'!$C$80),0))</f>
        <v>0</v>
      </c>
      <c r="L135" s="234">
        <f>IF(L$4&lt;$Z135,"",IF(SUM($D135:K135)&lt;$AA135,IF('Control Panel'!$C$80=0,0,$AA135/'Control Panel'!$C$80),0))</f>
        <v>0</v>
      </c>
      <c r="M135" s="234">
        <f>IF(M$4&lt;$Z135,"",IF(SUM($D135:L135)&lt;$AA135,IF('Control Panel'!$C$80=0,0,$AA135/'Control Panel'!$C$80),0))</f>
        <v>0</v>
      </c>
      <c r="N135" s="234">
        <f>IF(N$4&lt;$Z135,"",IF(SUM($D135:M135)&lt;$AA135,IF('Control Panel'!$C$80=0,0,$AA135/'Control Panel'!$C$80),0))</f>
        <v>0</v>
      </c>
      <c r="O135" s="234">
        <f>IF(O$4&lt;$Z135,"",IF(SUM($D135:N135)&lt;$AA135,IF('Control Panel'!$C$80=0,0,$AA135/'Control Panel'!$C$80),0))</f>
        <v>0</v>
      </c>
      <c r="P135" s="234">
        <f>IF(P$4&lt;$Z135,"",IF(SUM($D135:O135)&lt;$AA135,IF('Control Panel'!$C$80=0,0,$AA135/'Control Panel'!$C$80),0))</f>
        <v>0</v>
      </c>
      <c r="Q135" s="234">
        <f>IF(Q$4&lt;$Z135,"",IF(SUM($D135:P135)&lt;$AA135,IF('Control Panel'!$C$80=0,0,$AA135/'Control Panel'!$C$80),0))</f>
        <v>0</v>
      </c>
      <c r="R135" s="234">
        <f>IF(R$4&lt;$Z135,"",IF(SUM($D135:Q135)&lt;$AA135,IF('Control Panel'!$C$80=0,0,$AA135/'Control Panel'!$C$80),0))</f>
        <v>0</v>
      </c>
      <c r="S135" s="234">
        <f>IF(S$4&lt;$Z135,"",IF(SUM($D135:R135)&lt;$AA135,IF('Control Panel'!$C$80=0,0,$AA135/'Control Panel'!$C$80),0))</f>
        <v>0</v>
      </c>
      <c r="T135" s="234">
        <f>IF(T$4&lt;$Z135,"",IF(SUM($D135:S135)&lt;$AA135,IF('Control Panel'!$C$80=0,0,$AA135/'Control Panel'!$C$80),0))</f>
        <v>0</v>
      </c>
      <c r="U135" s="234">
        <f>IF(U$4&lt;$Z135,"",IF(SUM($D135:T135)&lt;$AA135,IF('Control Panel'!$C$80=0,0,$AA135/'Control Panel'!$C$80),0))</f>
        <v>0</v>
      </c>
      <c r="V135" s="234">
        <f>IF(V$4&lt;$Z135,"",IF(SUM($D135:U135)&lt;$AA135,IF('Control Panel'!$C$80=0,0,$AA135/'Control Panel'!$C$80),0))</f>
        <v>0</v>
      </c>
      <c r="W135" s="234">
        <f>IF(W$4&lt;$Z135,"",IF(SUM($D135:V135)&lt;$AA135,IF('Control Panel'!$C$80=0,0,$AA135/'Control Panel'!$C$80),0))</f>
        <v>0</v>
      </c>
      <c r="X135" s="235">
        <f>IF(X$4&lt;$Z135,"",IF(SUM($D135:W135)&lt;$AA135,IF('Control Panel'!$C$80=0,0,$AA135/'Control Panel'!$C$80),0))</f>
        <v>0</v>
      </c>
      <c r="Y135" s="143"/>
      <c r="Z135" s="232">
        <f t="shared" si="33"/>
        <v>5</v>
      </c>
      <c r="AA135" s="143">
        <v>0</v>
      </c>
    </row>
    <row r="136" spans="2:27" outlineLevel="1">
      <c r="C136" s="37"/>
      <c r="D136" s="37"/>
      <c r="E136" s="233" t="str">
        <f>IF(E$4&lt;$Z136,"",IF(SUM($D136:D136)&lt;$AA136,IF('Control Panel'!$C$80=0,0,$AA136/'Control Panel'!$C$80),0))</f>
        <v/>
      </c>
      <c r="F136" s="234" t="str">
        <f>IF(F$4&lt;$Z136,"",IF(SUM($D136:E136)&lt;$AA136,IF('Control Panel'!$C$80=0,0,$AA136/'Control Panel'!$C$80),0))</f>
        <v/>
      </c>
      <c r="G136" s="234" t="str">
        <f>IF(G$4&lt;$Z136,"",IF(SUM($D136:F136)&lt;$AA136,IF('Control Panel'!$C$80=0,0,$AA136/'Control Panel'!$C$80),0))</f>
        <v/>
      </c>
      <c r="H136" s="234" t="str">
        <f>IF(H$4&lt;$Z136,"",IF(SUM($D136:G136)&lt;$AA136,IF('Control Panel'!$C$80=0,0,$AA136/'Control Panel'!$C$80),0))</f>
        <v/>
      </c>
      <c r="I136" s="234" t="str">
        <f>IF(I$4&lt;$Z136,"",IF(SUM($D136:H136)&lt;$AA136,IF('Control Panel'!$C$80=0,0,$AA136/'Control Panel'!$C$80),0))</f>
        <v/>
      </c>
      <c r="J136" s="234">
        <f>IF(J$4&lt;$Z136,"",IF(SUM($D136:I136)&lt;$AA136,IF('Control Panel'!$C$80=0,0,$AA136/'Control Panel'!$C$80),0))</f>
        <v>0</v>
      </c>
      <c r="K136" s="234">
        <f>IF(K$4&lt;$Z136,"",IF(SUM($D136:J136)&lt;$AA136,IF('Control Panel'!$C$80=0,0,$AA136/'Control Panel'!$C$80),0))</f>
        <v>0</v>
      </c>
      <c r="L136" s="234">
        <f>IF(L$4&lt;$Z136,"",IF(SUM($D136:K136)&lt;$AA136,IF('Control Panel'!$C$80=0,0,$AA136/'Control Panel'!$C$80),0))</f>
        <v>0</v>
      </c>
      <c r="M136" s="234">
        <f>IF(M$4&lt;$Z136,"",IF(SUM($D136:L136)&lt;$AA136,IF('Control Panel'!$C$80=0,0,$AA136/'Control Panel'!$C$80),0))</f>
        <v>0</v>
      </c>
      <c r="N136" s="234">
        <f>IF(N$4&lt;$Z136,"",IF(SUM($D136:M136)&lt;$AA136,IF('Control Panel'!$C$80=0,0,$AA136/'Control Panel'!$C$80),0))</f>
        <v>0</v>
      </c>
      <c r="O136" s="234">
        <f>IF(O$4&lt;$Z136,"",IF(SUM($D136:N136)&lt;$AA136,IF('Control Panel'!$C$80=0,0,$AA136/'Control Panel'!$C$80),0))</f>
        <v>0</v>
      </c>
      <c r="P136" s="234">
        <f>IF(P$4&lt;$Z136,"",IF(SUM($D136:O136)&lt;$AA136,IF('Control Panel'!$C$80=0,0,$AA136/'Control Panel'!$C$80),0))</f>
        <v>0</v>
      </c>
      <c r="Q136" s="234">
        <f>IF(Q$4&lt;$Z136,"",IF(SUM($D136:P136)&lt;$AA136,IF('Control Panel'!$C$80=0,0,$AA136/'Control Panel'!$C$80),0))</f>
        <v>0</v>
      </c>
      <c r="R136" s="234">
        <f>IF(R$4&lt;$Z136,"",IF(SUM($D136:Q136)&lt;$AA136,IF('Control Panel'!$C$80=0,0,$AA136/'Control Panel'!$C$80),0))</f>
        <v>0</v>
      </c>
      <c r="S136" s="234">
        <f>IF(S$4&lt;$Z136,"",IF(SUM($D136:R136)&lt;$AA136,IF('Control Panel'!$C$80=0,0,$AA136/'Control Panel'!$C$80),0))</f>
        <v>0</v>
      </c>
      <c r="T136" s="234">
        <f>IF(T$4&lt;$Z136,"",IF(SUM($D136:S136)&lt;$AA136,IF('Control Panel'!$C$80=0,0,$AA136/'Control Panel'!$C$80),0))</f>
        <v>0</v>
      </c>
      <c r="U136" s="234">
        <f>IF(U$4&lt;$Z136,"",IF(SUM($D136:T136)&lt;$AA136,IF('Control Panel'!$C$80=0,0,$AA136/'Control Panel'!$C$80),0))</f>
        <v>0</v>
      </c>
      <c r="V136" s="234">
        <f>IF(V$4&lt;$Z136,"",IF(SUM($D136:U136)&lt;$AA136,IF('Control Panel'!$C$80=0,0,$AA136/'Control Panel'!$C$80),0))</f>
        <v>0</v>
      </c>
      <c r="W136" s="234">
        <f>IF(W$4&lt;$Z136,"",IF(SUM($D136:V136)&lt;$AA136,IF('Control Panel'!$C$80=0,0,$AA136/'Control Panel'!$C$80),0))</f>
        <v>0</v>
      </c>
      <c r="X136" s="235">
        <f>IF(X$4&lt;$Z136,"",IF(SUM($D136:W136)&lt;$AA136,IF('Control Panel'!$C$80=0,0,$AA136/'Control Panel'!$C$80),0))</f>
        <v>0</v>
      </c>
      <c r="Y136" s="143"/>
      <c r="Z136" s="232">
        <f t="shared" si="33"/>
        <v>6</v>
      </c>
      <c r="AA136" s="143">
        <v>0</v>
      </c>
    </row>
    <row r="137" spans="2:27" outlineLevel="1">
      <c r="C137" s="37"/>
      <c r="D137" s="37"/>
      <c r="E137" s="233" t="str">
        <f>IF(E$4&lt;$Z137,"",IF(SUM($D137:D137)&lt;$AA137,IF('Control Panel'!$C$80=0,0,$AA137/'Control Panel'!$C$80),0))</f>
        <v/>
      </c>
      <c r="F137" s="234" t="str">
        <f>IF(F$4&lt;$Z137,"",IF(SUM($D137:E137)&lt;$AA137,IF('Control Panel'!$C$80=0,0,$AA137/'Control Panel'!$C$80),0))</f>
        <v/>
      </c>
      <c r="G137" s="234" t="str">
        <f>IF(G$4&lt;$Z137,"",IF(SUM($D137:F137)&lt;$AA137,IF('Control Panel'!$C$80=0,0,$AA137/'Control Panel'!$C$80),0))</f>
        <v/>
      </c>
      <c r="H137" s="234" t="str">
        <f>IF(H$4&lt;$Z137,"",IF(SUM($D137:G137)&lt;$AA137,IF('Control Panel'!$C$80=0,0,$AA137/'Control Panel'!$C$80),0))</f>
        <v/>
      </c>
      <c r="I137" s="234" t="str">
        <f>IF(I$4&lt;$Z137,"",IF(SUM($D137:H137)&lt;$AA137,IF('Control Panel'!$C$80=0,0,$AA137/'Control Panel'!$C$80),0))</f>
        <v/>
      </c>
      <c r="J137" s="234" t="str">
        <f>IF(J$4&lt;$Z137,"",IF(SUM($D137:I137)&lt;$AA137,IF('Control Panel'!$C$80=0,0,$AA137/'Control Panel'!$C$80),0))</f>
        <v/>
      </c>
      <c r="K137" s="234">
        <f>IF(K$4&lt;$Z137,"",IF(SUM($D137:J137)&lt;$AA137,IF('Control Panel'!$C$80=0,0,$AA137/'Control Panel'!$C$80),0))</f>
        <v>0</v>
      </c>
      <c r="L137" s="234">
        <f>IF(L$4&lt;$Z137,"",IF(SUM($D137:K137)&lt;$AA137,IF('Control Panel'!$C$80=0,0,$AA137/'Control Panel'!$C$80),0))</f>
        <v>0</v>
      </c>
      <c r="M137" s="234">
        <f>IF(M$4&lt;$Z137,"",IF(SUM($D137:L137)&lt;$AA137,IF('Control Panel'!$C$80=0,0,$AA137/'Control Panel'!$C$80),0))</f>
        <v>0</v>
      </c>
      <c r="N137" s="234">
        <f>IF(N$4&lt;$Z137,"",IF(SUM($D137:M137)&lt;$AA137,IF('Control Panel'!$C$80=0,0,$AA137/'Control Panel'!$C$80),0))</f>
        <v>0</v>
      </c>
      <c r="O137" s="234">
        <f>IF(O$4&lt;$Z137,"",IF(SUM($D137:N137)&lt;$AA137,IF('Control Panel'!$C$80=0,0,$AA137/'Control Panel'!$C$80),0))</f>
        <v>0</v>
      </c>
      <c r="P137" s="234">
        <f>IF(P$4&lt;$Z137,"",IF(SUM($D137:O137)&lt;$AA137,IF('Control Panel'!$C$80=0,0,$AA137/'Control Panel'!$C$80),0))</f>
        <v>0</v>
      </c>
      <c r="Q137" s="234">
        <f>IF(Q$4&lt;$Z137,"",IF(SUM($D137:P137)&lt;$AA137,IF('Control Panel'!$C$80=0,0,$AA137/'Control Panel'!$C$80),0))</f>
        <v>0</v>
      </c>
      <c r="R137" s="234">
        <f>IF(R$4&lt;$Z137,"",IF(SUM($D137:Q137)&lt;$AA137,IF('Control Panel'!$C$80=0,0,$AA137/'Control Panel'!$C$80),0))</f>
        <v>0</v>
      </c>
      <c r="S137" s="234">
        <f>IF(S$4&lt;$Z137,"",IF(SUM($D137:R137)&lt;$AA137,IF('Control Panel'!$C$80=0,0,$AA137/'Control Panel'!$C$80),0))</f>
        <v>0</v>
      </c>
      <c r="T137" s="234">
        <f>IF(T$4&lt;$Z137,"",IF(SUM($D137:S137)&lt;$AA137,IF('Control Panel'!$C$80=0,0,$AA137/'Control Panel'!$C$80),0))</f>
        <v>0</v>
      </c>
      <c r="U137" s="234">
        <f>IF(U$4&lt;$Z137,"",IF(SUM($D137:T137)&lt;$AA137,IF('Control Panel'!$C$80=0,0,$AA137/'Control Panel'!$C$80),0))</f>
        <v>0</v>
      </c>
      <c r="V137" s="234">
        <f>IF(V$4&lt;$Z137,"",IF(SUM($D137:U137)&lt;$AA137,IF('Control Panel'!$C$80=0,0,$AA137/'Control Panel'!$C$80),0))</f>
        <v>0</v>
      </c>
      <c r="W137" s="234">
        <f>IF(W$4&lt;$Z137,"",IF(SUM($D137:V137)&lt;$AA137,IF('Control Panel'!$C$80=0,0,$AA137/'Control Panel'!$C$80),0))</f>
        <v>0</v>
      </c>
      <c r="X137" s="235">
        <f>IF(X$4&lt;$Z137,"",IF(SUM($D137:W137)&lt;$AA137,IF('Control Panel'!$C$80=0,0,$AA137/'Control Panel'!$C$80),0))</f>
        <v>0</v>
      </c>
      <c r="Y137" s="143"/>
      <c r="Z137" s="232">
        <f t="shared" si="33"/>
        <v>7</v>
      </c>
      <c r="AA137" s="143">
        <v>0</v>
      </c>
    </row>
    <row r="138" spans="2:27" outlineLevel="1">
      <c r="C138" s="37"/>
      <c r="D138" s="37"/>
      <c r="E138" s="233" t="str">
        <f>IF(E$4&lt;$Z138,"",IF(SUM($D138:D138)&lt;$AA138,IF('Control Panel'!$C$80=0,0,$AA138/'Control Panel'!$C$80),0))</f>
        <v/>
      </c>
      <c r="F138" s="234" t="str">
        <f>IF(F$4&lt;$Z138,"",IF(SUM($D138:E138)&lt;$AA138,IF('Control Panel'!$C$80=0,0,$AA138/'Control Panel'!$C$80),0))</f>
        <v/>
      </c>
      <c r="G138" s="234" t="str">
        <f>IF(G$4&lt;$Z138,"",IF(SUM($D138:F138)&lt;$AA138,IF('Control Panel'!$C$80=0,0,$AA138/'Control Panel'!$C$80),0))</f>
        <v/>
      </c>
      <c r="H138" s="234" t="str">
        <f>IF(H$4&lt;$Z138,"",IF(SUM($D138:G138)&lt;$AA138,IF('Control Panel'!$C$80=0,0,$AA138/'Control Panel'!$C$80),0))</f>
        <v/>
      </c>
      <c r="I138" s="234" t="str">
        <f>IF(I$4&lt;$Z138,"",IF(SUM($D138:H138)&lt;$AA138,IF('Control Panel'!$C$80=0,0,$AA138/'Control Panel'!$C$80),0))</f>
        <v/>
      </c>
      <c r="J138" s="234" t="str">
        <f>IF(J$4&lt;$Z138,"",IF(SUM($D138:I138)&lt;$AA138,IF('Control Panel'!$C$80=0,0,$AA138/'Control Panel'!$C$80),0))</f>
        <v/>
      </c>
      <c r="K138" s="234" t="str">
        <f>IF(K$4&lt;$Z138,"",IF(SUM($D138:J138)&lt;$AA138,IF('Control Panel'!$C$80=0,0,$AA138/'Control Panel'!$C$80),0))</f>
        <v/>
      </c>
      <c r="L138" s="234">
        <f>IF(L$4&lt;$Z138,"",IF(SUM($D138:K138)&lt;$AA138,IF('Control Panel'!$C$80=0,0,$AA138/'Control Panel'!$C$80),0))</f>
        <v>0</v>
      </c>
      <c r="M138" s="234">
        <f>IF(M$4&lt;$Z138,"",IF(SUM($D138:L138)&lt;$AA138,IF('Control Panel'!$C$80=0,0,$AA138/'Control Panel'!$C$80),0))</f>
        <v>0</v>
      </c>
      <c r="N138" s="234">
        <f>IF(N$4&lt;$Z138,"",IF(SUM($D138:M138)&lt;$AA138,IF('Control Panel'!$C$80=0,0,$AA138/'Control Panel'!$C$80),0))</f>
        <v>0</v>
      </c>
      <c r="O138" s="234">
        <f>IF(O$4&lt;$Z138,"",IF(SUM($D138:N138)&lt;$AA138,IF('Control Panel'!$C$80=0,0,$AA138/'Control Panel'!$C$80),0))</f>
        <v>0</v>
      </c>
      <c r="P138" s="234">
        <f>IF(P$4&lt;$Z138,"",IF(SUM($D138:O138)&lt;$AA138,IF('Control Panel'!$C$80=0,0,$AA138/'Control Panel'!$C$80),0))</f>
        <v>0</v>
      </c>
      <c r="Q138" s="234">
        <f>IF(Q$4&lt;$Z138,"",IF(SUM($D138:P138)&lt;$AA138,IF('Control Panel'!$C$80=0,0,$AA138/'Control Panel'!$C$80),0))</f>
        <v>0</v>
      </c>
      <c r="R138" s="234">
        <f>IF(R$4&lt;$Z138,"",IF(SUM($D138:Q138)&lt;$AA138,IF('Control Panel'!$C$80=0,0,$AA138/'Control Panel'!$C$80),0))</f>
        <v>0</v>
      </c>
      <c r="S138" s="234">
        <f>IF(S$4&lt;$Z138,"",IF(SUM($D138:R138)&lt;$AA138,IF('Control Panel'!$C$80=0,0,$AA138/'Control Panel'!$C$80),0))</f>
        <v>0</v>
      </c>
      <c r="T138" s="234">
        <f>IF(T$4&lt;$Z138,"",IF(SUM($D138:S138)&lt;$AA138,IF('Control Panel'!$C$80=0,0,$AA138/'Control Panel'!$C$80),0))</f>
        <v>0</v>
      </c>
      <c r="U138" s="234">
        <f>IF(U$4&lt;$Z138,"",IF(SUM($D138:T138)&lt;$AA138,IF('Control Panel'!$C$80=0,0,$AA138/'Control Panel'!$C$80),0))</f>
        <v>0</v>
      </c>
      <c r="V138" s="234">
        <f>IF(V$4&lt;$Z138,"",IF(SUM($D138:U138)&lt;$AA138,IF('Control Panel'!$C$80=0,0,$AA138/'Control Panel'!$C$80),0))</f>
        <v>0</v>
      </c>
      <c r="W138" s="234">
        <f>IF(W$4&lt;$Z138,"",IF(SUM($D138:V138)&lt;$AA138,IF('Control Panel'!$C$80=0,0,$AA138/'Control Panel'!$C$80),0))</f>
        <v>0</v>
      </c>
      <c r="X138" s="235">
        <f>IF(X$4&lt;$Z138,"",IF(SUM($D138:W138)&lt;$AA138,IF('Control Panel'!$C$80=0,0,$AA138/'Control Panel'!$C$80),0))</f>
        <v>0</v>
      </c>
      <c r="Y138" s="143"/>
      <c r="Z138" s="232">
        <f t="shared" si="33"/>
        <v>8</v>
      </c>
      <c r="AA138" s="143">
        <v>0</v>
      </c>
    </row>
    <row r="139" spans="2:27" outlineLevel="1">
      <c r="C139" s="37"/>
      <c r="D139" s="37"/>
      <c r="E139" s="233" t="str">
        <f>IF(E$4&lt;$Z139,"",IF(SUM($D139:D139)&lt;$AA139,IF('Control Panel'!$C$80=0,0,$AA139/'Control Panel'!$C$80),0))</f>
        <v/>
      </c>
      <c r="F139" s="234" t="str">
        <f>IF(F$4&lt;$Z139,"",IF(SUM($D139:E139)&lt;$AA139,IF('Control Panel'!$C$80=0,0,$AA139/'Control Panel'!$C$80),0))</f>
        <v/>
      </c>
      <c r="G139" s="234" t="str">
        <f>IF(G$4&lt;$Z139,"",IF(SUM($D139:F139)&lt;$AA139,IF('Control Panel'!$C$80=0,0,$AA139/'Control Panel'!$C$80),0))</f>
        <v/>
      </c>
      <c r="H139" s="234" t="str">
        <f>IF(H$4&lt;$Z139,"",IF(SUM($D139:G139)&lt;$AA139,IF('Control Panel'!$C$80=0,0,$AA139/'Control Panel'!$C$80),0))</f>
        <v/>
      </c>
      <c r="I139" s="234" t="str">
        <f>IF(I$4&lt;$Z139,"",IF(SUM($D139:H139)&lt;$AA139,IF('Control Panel'!$C$80=0,0,$AA139/'Control Panel'!$C$80),0))</f>
        <v/>
      </c>
      <c r="J139" s="234" t="str">
        <f>IF(J$4&lt;$Z139,"",IF(SUM($D139:I139)&lt;$AA139,IF('Control Panel'!$C$80=0,0,$AA139/'Control Panel'!$C$80),0))</f>
        <v/>
      </c>
      <c r="K139" s="234" t="str">
        <f>IF(K$4&lt;$Z139,"",IF(SUM($D139:J139)&lt;$AA139,IF('Control Panel'!$C$80=0,0,$AA139/'Control Panel'!$C$80),0))</f>
        <v/>
      </c>
      <c r="L139" s="234" t="str">
        <f>IF(L$4&lt;$Z139,"",IF(SUM($D139:K139)&lt;$AA139,IF('Control Panel'!$C$80=0,0,$AA139/'Control Panel'!$C$80),0))</f>
        <v/>
      </c>
      <c r="M139" s="234">
        <f>IF(M$4&lt;$Z139,"",IF(SUM($D139:L139)&lt;$AA139,IF('Control Panel'!$C$80=0,0,$AA139/'Control Panel'!$C$80),0))</f>
        <v>0</v>
      </c>
      <c r="N139" s="234">
        <f>IF(N$4&lt;$Z139,"",IF(SUM($D139:M139)&lt;$AA139,IF('Control Panel'!$C$80=0,0,$AA139/'Control Panel'!$C$80),0))</f>
        <v>0</v>
      </c>
      <c r="O139" s="234">
        <f>IF(O$4&lt;$Z139,"",IF(SUM($D139:N139)&lt;$AA139,IF('Control Panel'!$C$80=0,0,$AA139/'Control Panel'!$C$80),0))</f>
        <v>0</v>
      </c>
      <c r="P139" s="234">
        <f>IF(P$4&lt;$Z139,"",IF(SUM($D139:O139)&lt;$AA139,IF('Control Panel'!$C$80=0,0,$AA139/'Control Panel'!$C$80),0))</f>
        <v>0</v>
      </c>
      <c r="Q139" s="234">
        <f>IF(Q$4&lt;$Z139,"",IF(SUM($D139:P139)&lt;$AA139,IF('Control Panel'!$C$80=0,0,$AA139/'Control Panel'!$C$80),0))</f>
        <v>0</v>
      </c>
      <c r="R139" s="234">
        <f>IF(R$4&lt;$Z139,"",IF(SUM($D139:Q139)&lt;$AA139,IF('Control Panel'!$C$80=0,0,$AA139/'Control Panel'!$C$80),0))</f>
        <v>0</v>
      </c>
      <c r="S139" s="234">
        <f>IF(S$4&lt;$Z139,"",IF(SUM($D139:R139)&lt;$AA139,IF('Control Panel'!$C$80=0,0,$AA139/'Control Panel'!$C$80),0))</f>
        <v>0</v>
      </c>
      <c r="T139" s="234">
        <f>IF(T$4&lt;$Z139,"",IF(SUM($D139:S139)&lt;$AA139,IF('Control Panel'!$C$80=0,0,$AA139/'Control Panel'!$C$80),0))</f>
        <v>0</v>
      </c>
      <c r="U139" s="234">
        <f>IF(U$4&lt;$Z139,"",IF(SUM($D139:T139)&lt;$AA139,IF('Control Panel'!$C$80=0,0,$AA139/'Control Panel'!$C$80),0))</f>
        <v>0</v>
      </c>
      <c r="V139" s="234">
        <f>IF(V$4&lt;$Z139,"",IF(SUM($D139:U139)&lt;$AA139,IF('Control Panel'!$C$80=0,0,$AA139/'Control Panel'!$C$80),0))</f>
        <v>0</v>
      </c>
      <c r="W139" s="234">
        <f>IF(W$4&lt;$Z139,"",IF(SUM($D139:V139)&lt;$AA139,IF('Control Panel'!$C$80=0,0,$AA139/'Control Panel'!$C$80),0))</f>
        <v>0</v>
      </c>
      <c r="X139" s="235">
        <f>IF(X$4&lt;$Z139,"",IF(SUM($D139:W139)&lt;$AA139,IF('Control Panel'!$C$80=0,0,$AA139/'Control Panel'!$C$80),0))</f>
        <v>0</v>
      </c>
      <c r="Y139" s="143"/>
      <c r="Z139" s="232">
        <f t="shared" si="33"/>
        <v>9</v>
      </c>
      <c r="AA139" s="143">
        <v>0</v>
      </c>
    </row>
    <row r="140" spans="2:27" outlineLevel="1">
      <c r="C140" s="37"/>
      <c r="D140" s="37"/>
      <c r="E140" s="233" t="str">
        <f>IF(E$4&lt;$Z140,"",IF(SUM($D140:D140)&lt;$AA140,IF('Control Panel'!$C$80=0,0,$AA140/'Control Panel'!$C$80),0))</f>
        <v/>
      </c>
      <c r="F140" s="234" t="str">
        <f>IF(F$4&lt;$Z140,"",IF(SUM($D140:E140)&lt;$AA140,IF('Control Panel'!$C$80=0,0,$AA140/'Control Panel'!$C$80),0))</f>
        <v/>
      </c>
      <c r="G140" s="234" t="str">
        <f>IF(G$4&lt;$Z140,"",IF(SUM($D140:F140)&lt;$AA140,IF('Control Panel'!$C$80=0,0,$AA140/'Control Panel'!$C$80),0))</f>
        <v/>
      </c>
      <c r="H140" s="234" t="str">
        <f>IF(H$4&lt;$Z140,"",IF(SUM($D140:G140)&lt;$AA140,IF('Control Panel'!$C$80=0,0,$AA140/'Control Panel'!$C$80),0))</f>
        <v/>
      </c>
      <c r="I140" s="234" t="str">
        <f>IF(I$4&lt;$Z140,"",IF(SUM($D140:H140)&lt;$AA140,IF('Control Panel'!$C$80=0,0,$AA140/'Control Panel'!$C$80),0))</f>
        <v/>
      </c>
      <c r="J140" s="234" t="str">
        <f>IF(J$4&lt;$Z140,"",IF(SUM($D140:I140)&lt;$AA140,IF('Control Panel'!$C$80=0,0,$AA140/'Control Panel'!$C$80),0))</f>
        <v/>
      </c>
      <c r="K140" s="234" t="str">
        <f>IF(K$4&lt;$Z140,"",IF(SUM($D140:J140)&lt;$AA140,IF('Control Panel'!$C$80=0,0,$AA140/'Control Panel'!$C$80),0))</f>
        <v/>
      </c>
      <c r="L140" s="234" t="str">
        <f>IF(L$4&lt;$Z140,"",IF(SUM($D140:K140)&lt;$AA140,IF('Control Panel'!$C$80=0,0,$AA140/'Control Panel'!$C$80),0))</f>
        <v/>
      </c>
      <c r="M140" s="234" t="str">
        <f>IF(M$4&lt;$Z140,"",IF(SUM($D140:L140)&lt;$AA140,IF('Control Panel'!$C$80=0,0,$AA140/'Control Panel'!$C$80),0))</f>
        <v/>
      </c>
      <c r="N140" s="234">
        <f>IF(N$4&lt;$Z140,"",IF(SUM($D140:M140)&lt;$AA140,IF('Control Panel'!$C$80=0,0,$AA140/'Control Panel'!$C$80),0))</f>
        <v>0</v>
      </c>
      <c r="O140" s="234">
        <f>IF(O$4&lt;$Z140,"",IF(SUM($D140:N140)&lt;$AA140,IF('Control Panel'!$C$80=0,0,$AA140/'Control Panel'!$C$80),0))</f>
        <v>0</v>
      </c>
      <c r="P140" s="234">
        <f>IF(P$4&lt;$Z140,"",IF(SUM($D140:O140)&lt;$AA140,IF('Control Panel'!$C$80=0,0,$AA140/'Control Panel'!$C$80),0))</f>
        <v>0</v>
      </c>
      <c r="Q140" s="234">
        <f>IF(Q$4&lt;$Z140,"",IF(SUM($D140:P140)&lt;$AA140,IF('Control Panel'!$C$80=0,0,$AA140/'Control Panel'!$C$80),0))</f>
        <v>0</v>
      </c>
      <c r="R140" s="234">
        <f>IF(R$4&lt;$Z140,"",IF(SUM($D140:Q140)&lt;$AA140,IF('Control Panel'!$C$80=0,0,$AA140/'Control Panel'!$C$80),0))</f>
        <v>0</v>
      </c>
      <c r="S140" s="234">
        <f>IF(S$4&lt;$Z140,"",IF(SUM($D140:R140)&lt;$AA140,IF('Control Panel'!$C$80=0,0,$AA140/'Control Panel'!$C$80),0))</f>
        <v>0</v>
      </c>
      <c r="T140" s="234">
        <f>IF(T$4&lt;$Z140,"",IF(SUM($D140:S140)&lt;$AA140,IF('Control Panel'!$C$80=0,0,$AA140/'Control Panel'!$C$80),0))</f>
        <v>0</v>
      </c>
      <c r="U140" s="234">
        <f>IF(U$4&lt;$Z140,"",IF(SUM($D140:T140)&lt;$AA140,IF('Control Panel'!$C$80=0,0,$AA140/'Control Panel'!$C$80),0))</f>
        <v>0</v>
      </c>
      <c r="V140" s="234">
        <f>IF(V$4&lt;$Z140,"",IF(SUM($D140:U140)&lt;$AA140,IF('Control Panel'!$C$80=0,0,$AA140/'Control Panel'!$C$80),0))</f>
        <v>0</v>
      </c>
      <c r="W140" s="234">
        <f>IF(W$4&lt;$Z140,"",IF(SUM($D140:V140)&lt;$AA140,IF('Control Panel'!$C$80=0,0,$AA140/'Control Panel'!$C$80),0))</f>
        <v>0</v>
      </c>
      <c r="X140" s="235">
        <f>IF(X$4&lt;$Z140,"",IF(SUM($D140:W140)&lt;$AA140,IF('Control Panel'!$C$80=0,0,$AA140/'Control Panel'!$C$80),0))</f>
        <v>0</v>
      </c>
      <c r="Y140" s="143"/>
      <c r="Z140" s="232">
        <f t="shared" si="33"/>
        <v>10</v>
      </c>
      <c r="AA140" s="143">
        <v>0</v>
      </c>
    </row>
    <row r="141" spans="2:27" outlineLevel="1">
      <c r="C141" s="37"/>
      <c r="D141" s="37"/>
      <c r="E141" s="233" t="str">
        <f>IF(E$4&lt;$Z141,"",IF(SUM($D141:D141)&lt;$AA141,IF('Control Panel'!$C$80=0,0,$AA141/'Control Panel'!$C$80),0))</f>
        <v/>
      </c>
      <c r="F141" s="234" t="str">
        <f>IF(F$4&lt;$Z141,"",IF(SUM($D141:E141)&lt;$AA141,IF('Control Panel'!$C$80=0,0,$AA141/'Control Panel'!$C$80),0))</f>
        <v/>
      </c>
      <c r="G141" s="234" t="str">
        <f>IF(G$4&lt;$Z141,"",IF(SUM($D141:F141)&lt;$AA141,IF('Control Panel'!$C$80=0,0,$AA141/'Control Panel'!$C$80),0))</f>
        <v/>
      </c>
      <c r="H141" s="234" t="str">
        <f>IF(H$4&lt;$Z141,"",IF(SUM($D141:G141)&lt;$AA141,IF('Control Panel'!$C$80=0,0,$AA141/'Control Panel'!$C$80),0))</f>
        <v/>
      </c>
      <c r="I141" s="234" t="str">
        <f>IF(I$4&lt;$Z141,"",IF(SUM($D141:H141)&lt;$AA141,IF('Control Panel'!$C$80=0,0,$AA141/'Control Panel'!$C$80),0))</f>
        <v/>
      </c>
      <c r="J141" s="234" t="str">
        <f>IF(J$4&lt;$Z141,"",IF(SUM($D141:I141)&lt;$AA141,IF('Control Panel'!$C$80=0,0,$AA141/'Control Panel'!$C$80),0))</f>
        <v/>
      </c>
      <c r="K141" s="234" t="str">
        <f>IF(K$4&lt;$Z141,"",IF(SUM($D141:J141)&lt;$AA141,IF('Control Panel'!$C$80=0,0,$AA141/'Control Panel'!$C$80),0))</f>
        <v/>
      </c>
      <c r="L141" s="234" t="str">
        <f>IF(L$4&lt;$Z141,"",IF(SUM($D141:K141)&lt;$AA141,IF('Control Panel'!$C$80=0,0,$AA141/'Control Panel'!$C$80),0))</f>
        <v/>
      </c>
      <c r="M141" s="234" t="str">
        <f>IF(M$4&lt;$Z141,"",IF(SUM($D141:L141)&lt;$AA141,IF('Control Panel'!$C$80=0,0,$AA141/'Control Panel'!$C$80),0))</f>
        <v/>
      </c>
      <c r="N141" s="234" t="str">
        <f>IF(N$4&lt;$Z141,"",IF(SUM($D141:M141)&lt;$AA141,IF('Control Panel'!$C$80=0,0,$AA141/'Control Panel'!$C$80),0))</f>
        <v/>
      </c>
      <c r="O141" s="234">
        <f>IF(O$4&lt;$Z141,"",IF(SUM($D141:N141)&lt;$AA141,IF('Control Panel'!$C$80=0,0,$AA141/'Control Panel'!$C$80),0))</f>
        <v>0</v>
      </c>
      <c r="P141" s="234">
        <f>IF(P$4&lt;$Z141,"",IF(SUM($D141:O141)&lt;$AA141,IF('Control Panel'!$C$80=0,0,$AA141/'Control Panel'!$C$80),0))</f>
        <v>0</v>
      </c>
      <c r="Q141" s="234">
        <f>IF(Q$4&lt;$Z141,"",IF(SUM($D141:P141)&lt;$AA141,IF('Control Panel'!$C$80=0,0,$AA141/'Control Panel'!$C$80),0))</f>
        <v>0</v>
      </c>
      <c r="R141" s="234">
        <f>IF(R$4&lt;$Z141,"",IF(SUM($D141:Q141)&lt;$AA141,IF('Control Panel'!$C$80=0,0,$AA141/'Control Panel'!$C$80),0))</f>
        <v>0</v>
      </c>
      <c r="S141" s="234">
        <f>IF(S$4&lt;$Z141,"",IF(SUM($D141:R141)&lt;$AA141,IF('Control Panel'!$C$80=0,0,$AA141/'Control Panel'!$C$80),0))</f>
        <v>0</v>
      </c>
      <c r="T141" s="234">
        <f>IF(T$4&lt;$Z141,"",IF(SUM($D141:S141)&lt;$AA141,IF('Control Panel'!$C$80=0,0,$AA141/'Control Panel'!$C$80),0))</f>
        <v>0</v>
      </c>
      <c r="U141" s="234">
        <f>IF(U$4&lt;$Z141,"",IF(SUM($D141:T141)&lt;$AA141,IF('Control Panel'!$C$80=0,0,$AA141/'Control Panel'!$C$80),0))</f>
        <v>0</v>
      </c>
      <c r="V141" s="234">
        <f>IF(V$4&lt;$Z141,"",IF(SUM($D141:U141)&lt;$AA141,IF('Control Panel'!$C$80=0,0,$AA141/'Control Panel'!$C$80),0))</f>
        <v>0</v>
      </c>
      <c r="W141" s="234">
        <f>IF(W$4&lt;$Z141,"",IF(SUM($D141:V141)&lt;$AA141,IF('Control Panel'!$C$80=0,0,$AA141/'Control Panel'!$C$80),0))</f>
        <v>0</v>
      </c>
      <c r="X141" s="235">
        <f>IF(X$4&lt;$Z141,"",IF(SUM($D141:W141)&lt;$AA141,IF('Control Panel'!$C$80=0,0,$AA141/'Control Panel'!$C$80),0))</f>
        <v>0</v>
      </c>
      <c r="Y141" s="143"/>
      <c r="Z141" s="232">
        <f t="shared" si="33"/>
        <v>11</v>
      </c>
      <c r="AA141" s="143">
        <v>0</v>
      </c>
    </row>
    <row r="142" spans="2:27" outlineLevel="1">
      <c r="C142" s="37"/>
      <c r="D142" s="37"/>
      <c r="E142" s="233" t="str">
        <f>IF(E$4&lt;$Z142,"",IF(SUM($D142:D142)&lt;$AA142,IF('Control Panel'!$C$80=0,0,$AA142/'Control Panel'!$C$80),0))</f>
        <v/>
      </c>
      <c r="F142" s="234" t="str">
        <f>IF(F$4&lt;$Z142,"",IF(SUM($D142:E142)&lt;$AA142,IF('Control Panel'!$C$80=0,0,$AA142/'Control Panel'!$C$80),0))</f>
        <v/>
      </c>
      <c r="G142" s="234" t="str">
        <f>IF(G$4&lt;$Z142,"",IF(SUM($D142:F142)&lt;$AA142,IF('Control Panel'!$C$80=0,0,$AA142/'Control Panel'!$C$80),0))</f>
        <v/>
      </c>
      <c r="H142" s="234" t="str">
        <f>IF(H$4&lt;$Z142,"",IF(SUM($D142:G142)&lt;$AA142,IF('Control Panel'!$C$80=0,0,$AA142/'Control Panel'!$C$80),0))</f>
        <v/>
      </c>
      <c r="I142" s="234" t="str">
        <f>IF(I$4&lt;$Z142,"",IF(SUM($D142:H142)&lt;$AA142,IF('Control Panel'!$C$80=0,0,$AA142/'Control Panel'!$C$80),0))</f>
        <v/>
      </c>
      <c r="J142" s="234" t="str">
        <f>IF(J$4&lt;$Z142,"",IF(SUM($D142:I142)&lt;$AA142,IF('Control Panel'!$C$80=0,0,$AA142/'Control Panel'!$C$80),0))</f>
        <v/>
      </c>
      <c r="K142" s="234" t="str">
        <f>IF(K$4&lt;$Z142,"",IF(SUM($D142:J142)&lt;$AA142,IF('Control Panel'!$C$80=0,0,$AA142/'Control Panel'!$C$80),0))</f>
        <v/>
      </c>
      <c r="L142" s="234" t="str">
        <f>IF(L$4&lt;$Z142,"",IF(SUM($D142:K142)&lt;$AA142,IF('Control Panel'!$C$80=0,0,$AA142/'Control Panel'!$C$80),0))</f>
        <v/>
      </c>
      <c r="M142" s="234" t="str">
        <f>IF(M$4&lt;$Z142,"",IF(SUM($D142:L142)&lt;$AA142,IF('Control Panel'!$C$80=0,0,$AA142/'Control Panel'!$C$80),0))</f>
        <v/>
      </c>
      <c r="N142" s="234" t="str">
        <f>IF(N$4&lt;$Z142,"",IF(SUM($D142:M142)&lt;$AA142,IF('Control Panel'!$C$80=0,0,$AA142/'Control Panel'!$C$80),0))</f>
        <v/>
      </c>
      <c r="O142" s="234" t="str">
        <f>IF(O$4&lt;$Z142,"",IF(SUM($D142:N142)&lt;$AA142,IF('Control Panel'!$C$80=0,0,$AA142/'Control Panel'!$C$80),0))</f>
        <v/>
      </c>
      <c r="P142" s="234">
        <f>IF(P$4&lt;$Z142,"",IF(SUM($D142:O142)&lt;$AA142,IF('Control Panel'!$C$80=0,0,$AA142/'Control Panel'!$C$80),0))</f>
        <v>0</v>
      </c>
      <c r="Q142" s="234">
        <f>IF(Q$4&lt;$Z142,"",IF(SUM($D142:P142)&lt;$AA142,IF('Control Panel'!$C$80=0,0,$AA142/'Control Panel'!$C$80),0))</f>
        <v>0</v>
      </c>
      <c r="R142" s="234">
        <f>IF(R$4&lt;$Z142,"",IF(SUM($D142:Q142)&lt;$AA142,IF('Control Panel'!$C$80=0,0,$AA142/'Control Panel'!$C$80),0))</f>
        <v>0</v>
      </c>
      <c r="S142" s="234">
        <f>IF(S$4&lt;$Z142,"",IF(SUM($D142:R142)&lt;$AA142,IF('Control Panel'!$C$80=0,0,$AA142/'Control Panel'!$C$80),0))</f>
        <v>0</v>
      </c>
      <c r="T142" s="234">
        <f>IF(T$4&lt;$Z142,"",IF(SUM($D142:S142)&lt;$AA142,IF('Control Panel'!$C$80=0,0,$AA142/'Control Panel'!$C$80),0))</f>
        <v>0</v>
      </c>
      <c r="U142" s="234">
        <f>IF(U$4&lt;$Z142,"",IF(SUM($D142:T142)&lt;$AA142,IF('Control Panel'!$C$80=0,0,$AA142/'Control Panel'!$C$80),0))</f>
        <v>0</v>
      </c>
      <c r="V142" s="234">
        <f>IF(V$4&lt;$Z142,"",IF(SUM($D142:U142)&lt;$AA142,IF('Control Panel'!$C$80=0,0,$AA142/'Control Panel'!$C$80),0))</f>
        <v>0</v>
      </c>
      <c r="W142" s="234">
        <f>IF(W$4&lt;$Z142,"",IF(SUM($D142:V142)&lt;$AA142,IF('Control Panel'!$C$80=0,0,$AA142/'Control Panel'!$C$80),0))</f>
        <v>0</v>
      </c>
      <c r="X142" s="235">
        <f>IF(X$4&lt;$Z142,"",IF(SUM($D142:W142)&lt;$AA142,IF('Control Panel'!$C$80=0,0,$AA142/'Control Panel'!$C$80),0))</f>
        <v>0</v>
      </c>
      <c r="Y142" s="143"/>
      <c r="Z142" s="232">
        <f t="shared" si="33"/>
        <v>12</v>
      </c>
      <c r="AA142" s="143">
        <v>0</v>
      </c>
    </row>
    <row r="143" spans="2:27" outlineLevel="1">
      <c r="C143" s="37"/>
      <c r="D143" s="37"/>
      <c r="E143" s="233" t="str">
        <f>IF(E$4&lt;$Z143,"",IF(SUM($D143:D143)&lt;$AA143,IF('Control Panel'!$C$80=0,0,$AA143/'Control Panel'!$C$80),0))</f>
        <v/>
      </c>
      <c r="F143" s="234" t="str">
        <f>IF(F$4&lt;$Z143,"",IF(SUM($D143:E143)&lt;$AA143,IF('Control Panel'!$C$80=0,0,$AA143/'Control Panel'!$C$80),0))</f>
        <v/>
      </c>
      <c r="G143" s="234" t="str">
        <f>IF(G$4&lt;$Z143,"",IF(SUM($D143:F143)&lt;$AA143,IF('Control Panel'!$C$80=0,0,$AA143/'Control Panel'!$C$80),0))</f>
        <v/>
      </c>
      <c r="H143" s="234" t="str">
        <f>IF(H$4&lt;$Z143,"",IF(SUM($D143:G143)&lt;$AA143,IF('Control Panel'!$C$80=0,0,$AA143/'Control Panel'!$C$80),0))</f>
        <v/>
      </c>
      <c r="I143" s="234" t="str">
        <f>IF(I$4&lt;$Z143,"",IF(SUM($D143:H143)&lt;$AA143,IF('Control Panel'!$C$80=0,0,$AA143/'Control Panel'!$C$80),0))</f>
        <v/>
      </c>
      <c r="J143" s="234" t="str">
        <f>IF(J$4&lt;$Z143,"",IF(SUM($D143:I143)&lt;$AA143,IF('Control Panel'!$C$80=0,0,$AA143/'Control Panel'!$C$80),0))</f>
        <v/>
      </c>
      <c r="K143" s="234" t="str">
        <f>IF(K$4&lt;$Z143,"",IF(SUM($D143:J143)&lt;$AA143,IF('Control Panel'!$C$80=0,0,$AA143/'Control Panel'!$C$80),0))</f>
        <v/>
      </c>
      <c r="L143" s="234" t="str">
        <f>IF(L$4&lt;$Z143,"",IF(SUM($D143:K143)&lt;$AA143,IF('Control Panel'!$C$80=0,0,$AA143/'Control Panel'!$C$80),0))</f>
        <v/>
      </c>
      <c r="M143" s="234" t="str">
        <f>IF(M$4&lt;$Z143,"",IF(SUM($D143:L143)&lt;$AA143,IF('Control Panel'!$C$80=0,0,$AA143/'Control Panel'!$C$80),0))</f>
        <v/>
      </c>
      <c r="N143" s="234" t="str">
        <f>IF(N$4&lt;$Z143,"",IF(SUM($D143:M143)&lt;$AA143,IF('Control Panel'!$C$80=0,0,$AA143/'Control Panel'!$C$80),0))</f>
        <v/>
      </c>
      <c r="O143" s="234" t="str">
        <f>IF(O$4&lt;$Z143,"",IF(SUM($D143:N143)&lt;$AA143,IF('Control Panel'!$C$80=0,0,$AA143/'Control Panel'!$C$80),0))</f>
        <v/>
      </c>
      <c r="P143" s="234" t="str">
        <f>IF(P$4&lt;$Z143,"",IF(SUM($D143:O143)&lt;$AA143,IF('Control Panel'!$C$80=0,0,$AA143/'Control Panel'!$C$80),0))</f>
        <v/>
      </c>
      <c r="Q143" s="234">
        <f>IF(Q$4&lt;$Z143,"",IF(SUM($D143:P143)&lt;$AA143,IF('Control Panel'!$C$80=0,0,$AA143/'Control Panel'!$C$80),0))</f>
        <v>0</v>
      </c>
      <c r="R143" s="234">
        <f>IF(R$4&lt;$Z143,"",IF(SUM($D143:Q143)&lt;$AA143,IF('Control Panel'!$C$80=0,0,$AA143/'Control Panel'!$C$80),0))</f>
        <v>0</v>
      </c>
      <c r="S143" s="234">
        <f>IF(S$4&lt;$Z143,"",IF(SUM($D143:R143)&lt;$AA143,IF('Control Panel'!$C$80=0,0,$AA143/'Control Panel'!$C$80),0))</f>
        <v>0</v>
      </c>
      <c r="T143" s="234">
        <f>IF(T$4&lt;$Z143,"",IF(SUM($D143:S143)&lt;$AA143,IF('Control Panel'!$C$80=0,0,$AA143/'Control Panel'!$C$80),0))</f>
        <v>0</v>
      </c>
      <c r="U143" s="234">
        <f>IF(U$4&lt;$Z143,"",IF(SUM($D143:T143)&lt;$AA143,IF('Control Panel'!$C$80=0,0,$AA143/'Control Panel'!$C$80),0))</f>
        <v>0</v>
      </c>
      <c r="V143" s="234">
        <f>IF(V$4&lt;$Z143,"",IF(SUM($D143:U143)&lt;$AA143,IF('Control Panel'!$C$80=0,0,$AA143/'Control Panel'!$C$80),0))</f>
        <v>0</v>
      </c>
      <c r="W143" s="234">
        <f>IF(W$4&lt;$Z143,"",IF(SUM($D143:V143)&lt;$AA143,IF('Control Panel'!$C$80=0,0,$AA143/'Control Panel'!$C$80),0))</f>
        <v>0</v>
      </c>
      <c r="X143" s="235">
        <f>IF(X$4&lt;$Z143,"",IF(SUM($D143:W143)&lt;$AA143,IF('Control Panel'!$C$80=0,0,$AA143/'Control Panel'!$C$80),0))</f>
        <v>0</v>
      </c>
      <c r="Y143" s="143"/>
      <c r="Z143" s="232">
        <f t="shared" si="33"/>
        <v>13</v>
      </c>
      <c r="AA143" s="143">
        <v>0</v>
      </c>
    </row>
    <row r="144" spans="2:27" outlineLevel="1">
      <c r="C144" s="37"/>
      <c r="D144" s="37"/>
      <c r="E144" s="233" t="str">
        <f>IF(E$4&lt;$Z144,"",IF(SUM($D144:D144)&lt;$AA144,IF('Control Panel'!$C$80=0,0,$AA144/'Control Panel'!$C$80),0))</f>
        <v/>
      </c>
      <c r="F144" s="234" t="str">
        <f>IF(F$4&lt;$Z144,"",IF(SUM($D144:E144)&lt;$AA144,IF('Control Panel'!$C$80=0,0,$AA144/'Control Panel'!$C$80),0))</f>
        <v/>
      </c>
      <c r="G144" s="234" t="str">
        <f>IF(G$4&lt;$Z144,"",IF(SUM($D144:F144)&lt;$AA144,IF('Control Panel'!$C$80=0,0,$AA144/'Control Panel'!$C$80),0))</f>
        <v/>
      </c>
      <c r="H144" s="234" t="str">
        <f>IF(H$4&lt;$Z144,"",IF(SUM($D144:G144)&lt;$AA144,IF('Control Panel'!$C$80=0,0,$AA144/'Control Panel'!$C$80),0))</f>
        <v/>
      </c>
      <c r="I144" s="234" t="str">
        <f>IF(I$4&lt;$Z144,"",IF(SUM($D144:H144)&lt;$AA144,IF('Control Panel'!$C$80=0,0,$AA144/'Control Panel'!$C$80),0))</f>
        <v/>
      </c>
      <c r="J144" s="234" t="str">
        <f>IF(J$4&lt;$Z144,"",IF(SUM($D144:I144)&lt;$AA144,IF('Control Panel'!$C$80=0,0,$AA144/'Control Panel'!$C$80),0))</f>
        <v/>
      </c>
      <c r="K144" s="234" t="str">
        <f>IF(K$4&lt;$Z144,"",IF(SUM($D144:J144)&lt;$AA144,IF('Control Panel'!$C$80=0,0,$AA144/'Control Panel'!$C$80),0))</f>
        <v/>
      </c>
      <c r="L144" s="234" t="str">
        <f>IF(L$4&lt;$Z144,"",IF(SUM($D144:K144)&lt;$AA144,IF('Control Panel'!$C$80=0,0,$AA144/'Control Panel'!$C$80),0))</f>
        <v/>
      </c>
      <c r="M144" s="234" t="str">
        <f>IF(M$4&lt;$Z144,"",IF(SUM($D144:L144)&lt;$AA144,IF('Control Panel'!$C$80=0,0,$AA144/'Control Panel'!$C$80),0))</f>
        <v/>
      </c>
      <c r="N144" s="234" t="str">
        <f>IF(N$4&lt;$Z144,"",IF(SUM($D144:M144)&lt;$AA144,IF('Control Panel'!$C$80=0,0,$AA144/'Control Panel'!$C$80),0))</f>
        <v/>
      </c>
      <c r="O144" s="234" t="str">
        <f>IF(O$4&lt;$Z144,"",IF(SUM($D144:N144)&lt;$AA144,IF('Control Panel'!$C$80=0,0,$AA144/'Control Panel'!$C$80),0))</f>
        <v/>
      </c>
      <c r="P144" s="234" t="str">
        <f>IF(P$4&lt;$Z144,"",IF(SUM($D144:O144)&lt;$AA144,IF('Control Panel'!$C$80=0,0,$AA144/'Control Panel'!$C$80),0))</f>
        <v/>
      </c>
      <c r="Q144" s="234" t="str">
        <f>IF(Q$4&lt;$Z144,"",IF(SUM($D144:P144)&lt;$AA144,IF('Control Panel'!$C$80=0,0,$AA144/'Control Panel'!$C$80),0))</f>
        <v/>
      </c>
      <c r="R144" s="234">
        <f>IF(R$4&lt;$Z144,"",IF(SUM($D144:Q144)&lt;$AA144,IF('Control Panel'!$C$80=0,0,$AA144/'Control Panel'!$C$80),0))</f>
        <v>0</v>
      </c>
      <c r="S144" s="234">
        <f>IF(S$4&lt;$Z144,"",IF(SUM($D144:R144)&lt;$AA144,IF('Control Panel'!$C$80=0,0,$AA144/'Control Panel'!$C$80),0))</f>
        <v>0</v>
      </c>
      <c r="T144" s="234">
        <f>IF(T$4&lt;$Z144,"",IF(SUM($D144:S144)&lt;$AA144,IF('Control Panel'!$C$80=0,0,$AA144/'Control Panel'!$C$80),0))</f>
        <v>0</v>
      </c>
      <c r="U144" s="234">
        <f>IF(U$4&lt;$Z144,"",IF(SUM($D144:T144)&lt;$AA144,IF('Control Panel'!$C$80=0,0,$AA144/'Control Panel'!$C$80),0))</f>
        <v>0</v>
      </c>
      <c r="V144" s="234">
        <f>IF(V$4&lt;$Z144,"",IF(SUM($D144:U144)&lt;$AA144,IF('Control Panel'!$C$80=0,0,$AA144/'Control Panel'!$C$80),0))</f>
        <v>0</v>
      </c>
      <c r="W144" s="234">
        <f>IF(W$4&lt;$Z144,"",IF(SUM($D144:V144)&lt;$AA144,IF('Control Panel'!$C$80=0,0,$AA144/'Control Panel'!$C$80),0))</f>
        <v>0</v>
      </c>
      <c r="X144" s="235">
        <f>IF(X$4&lt;$Z144,"",IF(SUM($D144:W144)&lt;$AA144,IF('Control Panel'!$C$80=0,0,$AA144/'Control Panel'!$C$80),0))</f>
        <v>0</v>
      </c>
      <c r="Y144" s="143"/>
      <c r="Z144" s="232">
        <f t="shared" si="33"/>
        <v>14</v>
      </c>
      <c r="AA144" s="143">
        <v>0</v>
      </c>
    </row>
    <row r="145" spans="2:38" outlineLevel="1">
      <c r="C145" s="37"/>
      <c r="D145" s="37"/>
      <c r="E145" s="233" t="str">
        <f>IF(E$4&lt;$Z145,"",IF(SUM($D145:D145)&lt;$AA145,IF('Control Panel'!$C$80=0,0,$AA145/'Control Panel'!$C$80),0))</f>
        <v/>
      </c>
      <c r="F145" s="234" t="str">
        <f>IF(F$4&lt;$Z145,"",IF(SUM($D145:E145)&lt;$AA145,IF('Control Panel'!$C$80=0,0,$AA145/'Control Panel'!$C$80),0))</f>
        <v/>
      </c>
      <c r="G145" s="234" t="str">
        <f>IF(G$4&lt;$Z145,"",IF(SUM($D145:F145)&lt;$AA145,IF('Control Panel'!$C$80=0,0,$AA145/'Control Panel'!$C$80),0))</f>
        <v/>
      </c>
      <c r="H145" s="234" t="str">
        <f>IF(H$4&lt;$Z145,"",IF(SUM($D145:G145)&lt;$AA145,IF('Control Panel'!$C$80=0,0,$AA145/'Control Panel'!$C$80),0))</f>
        <v/>
      </c>
      <c r="I145" s="234" t="str">
        <f>IF(I$4&lt;$Z145,"",IF(SUM($D145:H145)&lt;$AA145,IF('Control Panel'!$C$80=0,0,$AA145/'Control Panel'!$C$80),0))</f>
        <v/>
      </c>
      <c r="J145" s="234" t="str">
        <f>IF(J$4&lt;$Z145,"",IF(SUM($D145:I145)&lt;$AA145,IF('Control Panel'!$C$80=0,0,$AA145/'Control Panel'!$C$80),0))</f>
        <v/>
      </c>
      <c r="K145" s="234" t="str">
        <f>IF(K$4&lt;$Z145,"",IF(SUM($D145:J145)&lt;$AA145,IF('Control Panel'!$C$80=0,0,$AA145/'Control Panel'!$C$80),0))</f>
        <v/>
      </c>
      <c r="L145" s="234" t="str">
        <f>IF(L$4&lt;$Z145,"",IF(SUM($D145:K145)&lt;$AA145,IF('Control Panel'!$C$80=0,0,$AA145/'Control Panel'!$C$80),0))</f>
        <v/>
      </c>
      <c r="M145" s="234" t="str">
        <f>IF(M$4&lt;$Z145,"",IF(SUM($D145:L145)&lt;$AA145,IF('Control Panel'!$C$80=0,0,$AA145/'Control Panel'!$C$80),0))</f>
        <v/>
      </c>
      <c r="N145" s="234" t="str">
        <f>IF(N$4&lt;$Z145,"",IF(SUM($D145:M145)&lt;$AA145,IF('Control Panel'!$C$80=0,0,$AA145/'Control Panel'!$C$80),0))</f>
        <v/>
      </c>
      <c r="O145" s="234" t="str">
        <f>IF(O$4&lt;$Z145,"",IF(SUM($D145:N145)&lt;$AA145,IF('Control Panel'!$C$80=0,0,$AA145/'Control Panel'!$C$80),0))</f>
        <v/>
      </c>
      <c r="P145" s="234" t="str">
        <f>IF(P$4&lt;$Z145,"",IF(SUM($D145:O145)&lt;$AA145,IF('Control Panel'!$C$80=0,0,$AA145/'Control Panel'!$C$80),0))</f>
        <v/>
      </c>
      <c r="Q145" s="234" t="str">
        <f>IF(Q$4&lt;$Z145,"",IF(SUM($D145:P145)&lt;$AA145,IF('Control Panel'!$C$80=0,0,$AA145/'Control Panel'!$C$80),0))</f>
        <v/>
      </c>
      <c r="R145" s="234" t="str">
        <f>IF(R$4&lt;$Z145,"",IF(SUM($D145:Q145)&lt;$AA145,IF('Control Panel'!$C$80=0,0,$AA145/'Control Panel'!$C$80),0))</f>
        <v/>
      </c>
      <c r="S145" s="234">
        <f>IF(S$4&lt;$Z145,"",IF(SUM($D145:R145)&lt;$AA145,IF('Control Panel'!$C$80=0,0,$AA145/'Control Panel'!$C$80),0))</f>
        <v>0</v>
      </c>
      <c r="T145" s="234">
        <f>IF(T$4&lt;$Z145,"",IF(SUM($D145:S145)&lt;$AA145,IF('Control Panel'!$C$80=0,0,$AA145/'Control Panel'!$C$80),0))</f>
        <v>0</v>
      </c>
      <c r="U145" s="234">
        <f>IF(U$4&lt;$Z145,"",IF(SUM($D145:T145)&lt;$AA145,IF('Control Panel'!$C$80=0,0,$AA145/'Control Panel'!$C$80),0))</f>
        <v>0</v>
      </c>
      <c r="V145" s="234">
        <f>IF(V$4&lt;$Z145,"",IF(SUM($D145:U145)&lt;$AA145,IF('Control Panel'!$C$80=0,0,$AA145/'Control Panel'!$C$80),0))</f>
        <v>0</v>
      </c>
      <c r="W145" s="234">
        <f>IF(W$4&lt;$Z145,"",IF(SUM($D145:V145)&lt;$AA145,IF('Control Panel'!$C$80=0,0,$AA145/'Control Panel'!$C$80),0))</f>
        <v>0</v>
      </c>
      <c r="X145" s="235">
        <f>IF(X$4&lt;$Z145,"",IF(SUM($D145:W145)&lt;$AA145,IF('Control Panel'!$C$80=0,0,$AA145/'Control Panel'!$C$80),0))</f>
        <v>0</v>
      </c>
      <c r="Y145" s="143"/>
      <c r="Z145" s="232">
        <f t="shared" si="33"/>
        <v>15</v>
      </c>
      <c r="AA145" s="143">
        <v>0</v>
      </c>
    </row>
    <row r="146" spans="2:38" outlineLevel="1">
      <c r="C146" s="37"/>
      <c r="D146" s="37"/>
      <c r="E146" s="233" t="str">
        <f>IF(E$4&lt;$Z146,"",IF(SUM($D146:D146)&lt;$AA146,IF('Control Panel'!$C$80=0,0,$AA146/'Control Panel'!$C$80),0))</f>
        <v/>
      </c>
      <c r="F146" s="234" t="str">
        <f>IF(F$4&lt;$Z146,"",IF(SUM($D146:E146)&lt;$AA146,IF('Control Panel'!$C$80=0,0,$AA146/'Control Panel'!$C$80),0))</f>
        <v/>
      </c>
      <c r="G146" s="234" t="str">
        <f>IF(G$4&lt;$Z146,"",IF(SUM($D146:F146)&lt;$AA146,IF('Control Panel'!$C$80=0,0,$AA146/'Control Panel'!$C$80),0))</f>
        <v/>
      </c>
      <c r="H146" s="234" t="str">
        <f>IF(H$4&lt;$Z146,"",IF(SUM($D146:G146)&lt;$AA146,IF('Control Panel'!$C$80=0,0,$AA146/'Control Panel'!$C$80),0))</f>
        <v/>
      </c>
      <c r="I146" s="234" t="str">
        <f>IF(I$4&lt;$Z146,"",IF(SUM($D146:H146)&lt;$AA146,IF('Control Panel'!$C$80=0,0,$AA146/'Control Panel'!$C$80),0))</f>
        <v/>
      </c>
      <c r="J146" s="234" t="str">
        <f>IF(J$4&lt;$Z146,"",IF(SUM($D146:I146)&lt;$AA146,IF('Control Panel'!$C$80=0,0,$AA146/'Control Panel'!$C$80),0))</f>
        <v/>
      </c>
      <c r="K146" s="234" t="str">
        <f>IF(K$4&lt;$Z146,"",IF(SUM($D146:J146)&lt;$AA146,IF('Control Panel'!$C$80=0,0,$AA146/'Control Panel'!$C$80),0))</f>
        <v/>
      </c>
      <c r="L146" s="234" t="str">
        <f>IF(L$4&lt;$Z146,"",IF(SUM($D146:K146)&lt;$AA146,IF('Control Panel'!$C$80=0,0,$AA146/'Control Panel'!$C$80),0))</f>
        <v/>
      </c>
      <c r="M146" s="234" t="str">
        <f>IF(M$4&lt;$Z146,"",IF(SUM($D146:L146)&lt;$AA146,IF('Control Panel'!$C$80=0,0,$AA146/'Control Panel'!$C$80),0))</f>
        <v/>
      </c>
      <c r="N146" s="234" t="str">
        <f>IF(N$4&lt;$Z146,"",IF(SUM($D146:M146)&lt;$AA146,IF('Control Panel'!$C$80=0,0,$AA146/'Control Panel'!$C$80),0))</f>
        <v/>
      </c>
      <c r="O146" s="234" t="str">
        <f>IF(O$4&lt;$Z146,"",IF(SUM($D146:N146)&lt;$AA146,IF('Control Panel'!$C$80=0,0,$AA146/'Control Panel'!$C$80),0))</f>
        <v/>
      </c>
      <c r="P146" s="234" t="str">
        <f>IF(P$4&lt;$Z146,"",IF(SUM($D146:O146)&lt;$AA146,IF('Control Panel'!$C$80=0,0,$AA146/'Control Panel'!$C$80),0))</f>
        <v/>
      </c>
      <c r="Q146" s="234" t="str">
        <f>IF(Q$4&lt;$Z146,"",IF(SUM($D146:P146)&lt;$AA146,IF('Control Panel'!$C$80=0,0,$AA146/'Control Panel'!$C$80),0))</f>
        <v/>
      </c>
      <c r="R146" s="234" t="str">
        <f>IF(R$4&lt;$Z146,"",IF(SUM($D146:Q146)&lt;$AA146,IF('Control Panel'!$C$80=0,0,$AA146/'Control Panel'!$C$80),0))</f>
        <v/>
      </c>
      <c r="S146" s="234" t="str">
        <f>IF(S$4&lt;$Z146,"",IF(SUM($D146:R146)&lt;$AA146,IF('Control Panel'!$C$80=0,0,$AA146/'Control Panel'!$C$80),0))</f>
        <v/>
      </c>
      <c r="T146" s="234">
        <f>IF(T$4&lt;$Z146,"",IF(SUM($D146:S146)&lt;$AA146,IF('Control Panel'!$C$80=0,0,$AA146/'Control Panel'!$C$80),0))</f>
        <v>0</v>
      </c>
      <c r="U146" s="234">
        <f>IF(U$4&lt;$Z146,"",IF(SUM($D146:T146)&lt;$AA146,IF('Control Panel'!$C$80=0,0,$AA146/'Control Panel'!$C$80),0))</f>
        <v>0</v>
      </c>
      <c r="V146" s="234">
        <f>IF(V$4&lt;$Z146,"",IF(SUM($D146:U146)&lt;$AA146,IF('Control Panel'!$C$80=0,0,$AA146/'Control Panel'!$C$80),0))</f>
        <v>0</v>
      </c>
      <c r="W146" s="234">
        <f>IF(W$4&lt;$Z146,"",IF(SUM($D146:V146)&lt;$AA146,IF('Control Panel'!$C$80=0,0,$AA146/'Control Panel'!$C$80),0))</f>
        <v>0</v>
      </c>
      <c r="X146" s="235">
        <f>IF(X$4&lt;$Z146,"",IF(SUM($D146:W146)&lt;$AA146,IF('Control Panel'!$C$80=0,0,$AA146/'Control Panel'!$C$80),0))</f>
        <v>0</v>
      </c>
      <c r="Y146" s="143"/>
      <c r="Z146" s="232">
        <f t="shared" si="33"/>
        <v>16</v>
      </c>
      <c r="AA146" s="143">
        <v>0</v>
      </c>
    </row>
    <row r="147" spans="2:38" outlineLevel="1">
      <c r="C147" s="37"/>
      <c r="D147" s="37"/>
      <c r="E147" s="233" t="str">
        <f>IF(E$4&lt;$Z147,"",IF(SUM($D147:D147)&lt;$AA147,IF('Control Panel'!$C$80=0,0,$AA147/'Control Panel'!$C$80),0))</f>
        <v/>
      </c>
      <c r="F147" s="234" t="str">
        <f>IF(F$4&lt;$Z147,"",IF(SUM($D147:E147)&lt;$AA147,IF('Control Panel'!$C$80=0,0,$AA147/'Control Panel'!$C$80),0))</f>
        <v/>
      </c>
      <c r="G147" s="234" t="str">
        <f>IF(G$4&lt;$Z147,"",IF(SUM($D147:F147)&lt;$AA147,IF('Control Panel'!$C$80=0,0,$AA147/'Control Panel'!$C$80),0))</f>
        <v/>
      </c>
      <c r="H147" s="234" t="str">
        <f>IF(H$4&lt;$Z147,"",IF(SUM($D147:G147)&lt;$AA147,IF('Control Panel'!$C$80=0,0,$AA147/'Control Panel'!$C$80),0))</f>
        <v/>
      </c>
      <c r="I147" s="234" t="str">
        <f>IF(I$4&lt;$Z147,"",IF(SUM($D147:H147)&lt;$AA147,IF('Control Panel'!$C$80=0,0,$AA147/'Control Panel'!$C$80),0))</f>
        <v/>
      </c>
      <c r="J147" s="234" t="str">
        <f>IF(J$4&lt;$Z147,"",IF(SUM($D147:I147)&lt;$AA147,IF('Control Panel'!$C$80=0,0,$AA147/'Control Panel'!$C$80),0))</f>
        <v/>
      </c>
      <c r="K147" s="234" t="str">
        <f>IF(K$4&lt;$Z147,"",IF(SUM($D147:J147)&lt;$AA147,IF('Control Panel'!$C$80=0,0,$AA147/'Control Panel'!$C$80),0))</f>
        <v/>
      </c>
      <c r="L147" s="234" t="str">
        <f>IF(L$4&lt;$Z147,"",IF(SUM($D147:K147)&lt;$AA147,IF('Control Panel'!$C$80=0,0,$AA147/'Control Panel'!$C$80),0))</f>
        <v/>
      </c>
      <c r="M147" s="234" t="str">
        <f>IF(M$4&lt;$Z147,"",IF(SUM($D147:L147)&lt;$AA147,IF('Control Panel'!$C$80=0,0,$AA147/'Control Panel'!$C$80),0))</f>
        <v/>
      </c>
      <c r="N147" s="234" t="str">
        <f>IF(N$4&lt;$Z147,"",IF(SUM($D147:M147)&lt;$AA147,IF('Control Panel'!$C$80=0,0,$AA147/'Control Panel'!$C$80),0))</f>
        <v/>
      </c>
      <c r="O147" s="234" t="str">
        <f>IF(O$4&lt;$Z147,"",IF(SUM($D147:N147)&lt;$AA147,IF('Control Panel'!$C$80=0,0,$AA147/'Control Panel'!$C$80),0))</f>
        <v/>
      </c>
      <c r="P147" s="234" t="str">
        <f>IF(P$4&lt;$Z147,"",IF(SUM($D147:O147)&lt;$AA147,IF('Control Panel'!$C$80=0,0,$AA147/'Control Panel'!$C$80),0))</f>
        <v/>
      </c>
      <c r="Q147" s="234" t="str">
        <f>IF(Q$4&lt;$Z147,"",IF(SUM($D147:P147)&lt;$AA147,IF('Control Panel'!$C$80=0,0,$AA147/'Control Panel'!$C$80),0))</f>
        <v/>
      </c>
      <c r="R147" s="234" t="str">
        <f>IF(R$4&lt;$Z147,"",IF(SUM($D147:Q147)&lt;$AA147,IF('Control Panel'!$C$80=0,0,$AA147/'Control Panel'!$C$80),0))</f>
        <v/>
      </c>
      <c r="S147" s="234" t="str">
        <f>IF(S$4&lt;$Z147,"",IF(SUM($D147:R147)&lt;$AA147,IF('Control Panel'!$C$80=0,0,$AA147/'Control Panel'!$C$80),0))</f>
        <v/>
      </c>
      <c r="T147" s="234" t="str">
        <f>IF(T$4&lt;$Z147,"",IF(SUM($D147:S147)&lt;$AA147,IF('Control Panel'!$C$80=0,0,$AA147/'Control Panel'!$C$80),0))</f>
        <v/>
      </c>
      <c r="U147" s="234">
        <f>IF(U$4&lt;$Z147,"",IF(SUM($D147:T147)&lt;$AA147,IF('Control Panel'!$C$80=0,0,$AA147/'Control Panel'!$C$80),0))</f>
        <v>0</v>
      </c>
      <c r="V147" s="234">
        <f>IF(V$4&lt;$Z147,"",IF(SUM($D147:U147)&lt;$AA147,IF('Control Panel'!$C$80=0,0,$AA147/'Control Panel'!$C$80),0))</f>
        <v>0</v>
      </c>
      <c r="W147" s="234">
        <f>IF(W$4&lt;$Z147,"",IF(SUM($D147:V147)&lt;$AA147,IF('Control Panel'!$C$80=0,0,$AA147/'Control Panel'!$C$80),0))</f>
        <v>0</v>
      </c>
      <c r="X147" s="235">
        <f>IF(X$4&lt;$Z147,"",IF(SUM($D147:W147)&lt;$AA147,IF('Control Panel'!$C$80=0,0,$AA147/'Control Panel'!$C$80),0))</f>
        <v>0</v>
      </c>
      <c r="Y147" s="143"/>
      <c r="Z147" s="232">
        <f t="shared" si="33"/>
        <v>17</v>
      </c>
      <c r="AA147" s="143">
        <v>0</v>
      </c>
    </row>
    <row r="148" spans="2:38" outlineLevel="1">
      <c r="C148" s="37"/>
      <c r="D148" s="37"/>
      <c r="E148" s="233" t="str">
        <f>IF(E$4&lt;$Z148,"",IF(SUM($D148:D148)&lt;$AA148,IF('Control Panel'!$C$80=0,0,$AA148/'Control Panel'!$C$80),0))</f>
        <v/>
      </c>
      <c r="F148" s="234" t="str">
        <f>IF(F$4&lt;$Z148,"",IF(SUM($D148:E148)&lt;$AA148,IF('Control Panel'!$C$80=0,0,$AA148/'Control Panel'!$C$80),0))</f>
        <v/>
      </c>
      <c r="G148" s="234" t="str">
        <f>IF(G$4&lt;$Z148,"",IF(SUM($D148:F148)&lt;$AA148,IF('Control Panel'!$C$80=0,0,$AA148/'Control Panel'!$C$80),0))</f>
        <v/>
      </c>
      <c r="H148" s="234" t="str">
        <f>IF(H$4&lt;$Z148,"",IF(SUM($D148:G148)&lt;$AA148,IF('Control Panel'!$C$80=0,0,$AA148/'Control Panel'!$C$80),0))</f>
        <v/>
      </c>
      <c r="I148" s="234" t="str">
        <f>IF(I$4&lt;$Z148,"",IF(SUM($D148:H148)&lt;$AA148,IF('Control Panel'!$C$80=0,0,$AA148/'Control Panel'!$C$80),0))</f>
        <v/>
      </c>
      <c r="J148" s="234" t="str">
        <f>IF(J$4&lt;$Z148,"",IF(SUM($D148:I148)&lt;$AA148,IF('Control Panel'!$C$80=0,0,$AA148/'Control Panel'!$C$80),0))</f>
        <v/>
      </c>
      <c r="K148" s="234" t="str">
        <f>IF(K$4&lt;$Z148,"",IF(SUM($D148:J148)&lt;$AA148,IF('Control Panel'!$C$80=0,0,$AA148/'Control Panel'!$C$80),0))</f>
        <v/>
      </c>
      <c r="L148" s="234" t="str">
        <f>IF(L$4&lt;$Z148,"",IF(SUM($D148:K148)&lt;$AA148,IF('Control Panel'!$C$80=0,0,$AA148/'Control Panel'!$C$80),0))</f>
        <v/>
      </c>
      <c r="M148" s="234" t="str">
        <f>IF(M$4&lt;$Z148,"",IF(SUM($D148:L148)&lt;$AA148,IF('Control Panel'!$C$80=0,0,$AA148/'Control Panel'!$C$80),0))</f>
        <v/>
      </c>
      <c r="N148" s="234" t="str">
        <f>IF(N$4&lt;$Z148,"",IF(SUM($D148:M148)&lt;$AA148,IF('Control Panel'!$C$80=0,0,$AA148/'Control Panel'!$C$80),0))</f>
        <v/>
      </c>
      <c r="O148" s="234" t="str">
        <f>IF(O$4&lt;$Z148,"",IF(SUM($D148:N148)&lt;$AA148,IF('Control Panel'!$C$80=0,0,$AA148/'Control Panel'!$C$80),0))</f>
        <v/>
      </c>
      <c r="P148" s="234" t="str">
        <f>IF(P$4&lt;$Z148,"",IF(SUM($D148:O148)&lt;$AA148,IF('Control Panel'!$C$80=0,0,$AA148/'Control Panel'!$C$80),0))</f>
        <v/>
      </c>
      <c r="Q148" s="234" t="str">
        <f>IF(Q$4&lt;$Z148,"",IF(SUM($D148:P148)&lt;$AA148,IF('Control Panel'!$C$80=0,0,$AA148/'Control Panel'!$C$80),0))</f>
        <v/>
      </c>
      <c r="R148" s="234" t="str">
        <f>IF(R$4&lt;$Z148,"",IF(SUM($D148:Q148)&lt;$AA148,IF('Control Panel'!$C$80=0,0,$AA148/'Control Panel'!$C$80),0))</f>
        <v/>
      </c>
      <c r="S148" s="234" t="str">
        <f>IF(S$4&lt;$Z148,"",IF(SUM($D148:R148)&lt;$AA148,IF('Control Panel'!$C$80=0,0,$AA148/'Control Panel'!$C$80),0))</f>
        <v/>
      </c>
      <c r="T148" s="234" t="str">
        <f>IF(T$4&lt;$Z148,"",IF(SUM($D148:S148)&lt;$AA148,IF('Control Panel'!$C$80=0,0,$AA148/'Control Panel'!$C$80),0))</f>
        <v/>
      </c>
      <c r="U148" s="234" t="str">
        <f>IF(U$4&lt;$Z148,"",IF(SUM($D148:T148)&lt;$AA148,IF('Control Panel'!$C$80=0,0,$AA148/'Control Panel'!$C$80),0))</f>
        <v/>
      </c>
      <c r="V148" s="234">
        <f>IF(V$4&lt;$Z148,"",IF(SUM($D148:U148)&lt;$AA148,IF('Control Panel'!$C$80=0,0,$AA148/'Control Panel'!$C$80),0))</f>
        <v>0</v>
      </c>
      <c r="W148" s="234">
        <f>IF(W$4&lt;$Z148,"",IF(SUM($D148:V148)&lt;$AA148,IF('Control Panel'!$C$80=0,0,$AA148/'Control Panel'!$C$80),0))</f>
        <v>0</v>
      </c>
      <c r="X148" s="235">
        <f>IF(X$4&lt;$Z148,"",IF(SUM($D148:W148)&lt;$AA148,IF('Control Panel'!$C$80=0,0,$AA148/'Control Panel'!$C$80),0))</f>
        <v>0</v>
      </c>
      <c r="Y148" s="143"/>
      <c r="Z148" s="232">
        <f t="shared" si="33"/>
        <v>18</v>
      </c>
      <c r="AA148" s="143">
        <v>0</v>
      </c>
    </row>
    <row r="149" spans="2:38" outlineLevel="1">
      <c r="C149" s="37"/>
      <c r="D149" s="37"/>
      <c r="E149" s="233" t="str">
        <f>IF(E$4&lt;$Z149,"",IF(SUM($D149:D149)&lt;$AA149,IF('Control Panel'!$C$80=0,0,$AA149/'Control Panel'!$C$80),0))</f>
        <v/>
      </c>
      <c r="F149" s="234" t="str">
        <f>IF(F$4&lt;$Z149,"",IF(SUM($D149:E149)&lt;$AA149,IF('Control Panel'!$C$80=0,0,$AA149/'Control Panel'!$C$80),0))</f>
        <v/>
      </c>
      <c r="G149" s="234" t="str">
        <f>IF(G$4&lt;$Z149,"",IF(SUM($D149:F149)&lt;$AA149,IF('Control Panel'!$C$80=0,0,$AA149/'Control Panel'!$C$80),0))</f>
        <v/>
      </c>
      <c r="H149" s="234" t="str">
        <f>IF(H$4&lt;$Z149,"",IF(SUM($D149:G149)&lt;$AA149,IF('Control Panel'!$C$80=0,0,$AA149/'Control Panel'!$C$80),0))</f>
        <v/>
      </c>
      <c r="I149" s="234" t="str">
        <f>IF(I$4&lt;$Z149,"",IF(SUM($D149:H149)&lt;$AA149,IF('Control Panel'!$C$80=0,0,$AA149/'Control Panel'!$C$80),0))</f>
        <v/>
      </c>
      <c r="J149" s="234" t="str">
        <f>IF(J$4&lt;$Z149,"",IF(SUM($D149:I149)&lt;$AA149,IF('Control Panel'!$C$80=0,0,$AA149/'Control Panel'!$C$80),0))</f>
        <v/>
      </c>
      <c r="K149" s="234" t="str">
        <f>IF(K$4&lt;$Z149,"",IF(SUM($D149:J149)&lt;$AA149,IF('Control Panel'!$C$80=0,0,$AA149/'Control Panel'!$C$80),0))</f>
        <v/>
      </c>
      <c r="L149" s="234" t="str">
        <f>IF(L$4&lt;$Z149,"",IF(SUM($D149:K149)&lt;$AA149,IF('Control Panel'!$C$80=0,0,$AA149/'Control Panel'!$C$80),0))</f>
        <v/>
      </c>
      <c r="M149" s="234" t="str">
        <f>IF(M$4&lt;$Z149,"",IF(SUM($D149:L149)&lt;$AA149,IF('Control Panel'!$C$80=0,0,$AA149/'Control Panel'!$C$80),0))</f>
        <v/>
      </c>
      <c r="N149" s="234" t="str">
        <f>IF(N$4&lt;$Z149,"",IF(SUM($D149:M149)&lt;$AA149,IF('Control Panel'!$C$80=0,0,$AA149/'Control Panel'!$C$80),0))</f>
        <v/>
      </c>
      <c r="O149" s="234" t="str">
        <f>IF(O$4&lt;$Z149,"",IF(SUM($D149:N149)&lt;$AA149,IF('Control Panel'!$C$80=0,0,$AA149/'Control Panel'!$C$80),0))</f>
        <v/>
      </c>
      <c r="P149" s="234" t="str">
        <f>IF(P$4&lt;$Z149,"",IF(SUM($D149:O149)&lt;$AA149,IF('Control Panel'!$C$80=0,0,$AA149/'Control Panel'!$C$80),0))</f>
        <v/>
      </c>
      <c r="Q149" s="234" t="str">
        <f>IF(Q$4&lt;$Z149,"",IF(SUM($D149:P149)&lt;$AA149,IF('Control Panel'!$C$80=0,0,$AA149/'Control Panel'!$C$80),0))</f>
        <v/>
      </c>
      <c r="R149" s="234" t="str">
        <f>IF(R$4&lt;$Z149,"",IF(SUM($D149:Q149)&lt;$AA149,IF('Control Panel'!$C$80=0,0,$AA149/'Control Panel'!$C$80),0))</f>
        <v/>
      </c>
      <c r="S149" s="234" t="str">
        <f>IF(S$4&lt;$Z149,"",IF(SUM($D149:R149)&lt;$AA149,IF('Control Panel'!$C$80=0,0,$AA149/'Control Panel'!$C$80),0))</f>
        <v/>
      </c>
      <c r="T149" s="234" t="str">
        <f>IF(T$4&lt;$Z149,"",IF(SUM($D149:S149)&lt;$AA149,IF('Control Panel'!$C$80=0,0,$AA149/'Control Panel'!$C$80),0))</f>
        <v/>
      </c>
      <c r="U149" s="234" t="str">
        <f>IF(U$4&lt;$Z149,"",IF(SUM($D149:T149)&lt;$AA149,IF('Control Panel'!$C$80=0,0,$AA149/'Control Panel'!$C$80),0))</f>
        <v/>
      </c>
      <c r="V149" s="234" t="str">
        <f>IF(V$4&lt;$Z149,"",IF(SUM($D149:U149)&lt;$AA149,IF('Control Panel'!$C$80=0,0,$AA149/'Control Panel'!$C$80),0))</f>
        <v/>
      </c>
      <c r="W149" s="234">
        <f>IF(W$4&lt;$Z149,"",IF(SUM($D149:V149)&lt;$AA149,IF('Control Panel'!$C$80=0,0,$AA149/'Control Panel'!$C$80),0))</f>
        <v>0</v>
      </c>
      <c r="X149" s="235">
        <f>IF(X$4&lt;$Z149,"",IF(SUM($D149:W149)&lt;$AA149,IF('Control Panel'!$C$80=0,0,$AA149/'Control Panel'!$C$80),0))</f>
        <v>0</v>
      </c>
      <c r="Y149" s="143"/>
      <c r="Z149" s="232">
        <f t="shared" si="33"/>
        <v>19</v>
      </c>
      <c r="AA149" s="143">
        <v>0</v>
      </c>
    </row>
    <row r="150" spans="2:38" outlineLevel="1">
      <c r="C150" s="37"/>
      <c r="D150" s="37"/>
      <c r="E150" s="237" t="str">
        <f>IF(E$4&lt;$Z150,"",IF(SUM($D150:D150)&lt;$AA150,IF('Control Panel'!$C$80=0,0,$AA150/'Control Panel'!$C$80),0))</f>
        <v/>
      </c>
      <c r="F150" s="158" t="str">
        <f>IF(F$4&lt;$Z150,"",IF(SUM($D150:E150)&lt;$AA150,IF('Control Panel'!$C$80=0,0,$AA150/'Control Panel'!$C$80),0))</f>
        <v/>
      </c>
      <c r="G150" s="158" t="str">
        <f>IF(G$4&lt;$Z150,"",IF(SUM($D150:F150)&lt;$AA150,IF('Control Panel'!$C$80=0,0,$AA150/'Control Panel'!$C$80),0))</f>
        <v/>
      </c>
      <c r="H150" s="158" t="str">
        <f>IF(H$4&lt;$Z150,"",IF(SUM($D150:G150)&lt;$AA150,IF('Control Panel'!$C$80=0,0,$AA150/'Control Panel'!$C$80),0))</f>
        <v/>
      </c>
      <c r="I150" s="158" t="str">
        <f>IF(I$4&lt;$Z150,"",IF(SUM($D150:H150)&lt;$AA150,IF('Control Panel'!$C$80=0,0,$AA150/'Control Panel'!$C$80),0))</f>
        <v/>
      </c>
      <c r="J150" s="158" t="str">
        <f>IF(J$4&lt;$Z150,"",IF(SUM($D150:I150)&lt;$AA150,IF('Control Panel'!$C$80=0,0,$AA150/'Control Panel'!$C$80),0))</f>
        <v/>
      </c>
      <c r="K150" s="158" t="str">
        <f>IF(K$4&lt;$Z150,"",IF(SUM($D150:J150)&lt;$AA150,IF('Control Panel'!$C$80=0,0,$AA150/'Control Panel'!$C$80),0))</f>
        <v/>
      </c>
      <c r="L150" s="158" t="str">
        <f>IF(L$4&lt;$Z150,"",IF(SUM($D150:K150)&lt;$AA150,IF('Control Panel'!$C$80=0,0,$AA150/'Control Panel'!$C$80),0))</f>
        <v/>
      </c>
      <c r="M150" s="158" t="str">
        <f>IF(M$4&lt;$Z150,"",IF(SUM($D150:L150)&lt;$AA150,IF('Control Panel'!$C$80=0,0,$AA150/'Control Panel'!$C$80),0))</f>
        <v/>
      </c>
      <c r="N150" s="158" t="str">
        <f>IF(N$4&lt;$Z150,"",IF(SUM($D150:M150)&lt;$AA150,IF('Control Panel'!$C$80=0,0,$AA150/'Control Panel'!$C$80),0))</f>
        <v/>
      </c>
      <c r="O150" s="158" t="str">
        <f>IF(O$4&lt;$Z150,"",IF(SUM($D150:N150)&lt;$AA150,IF('Control Panel'!$C$80=0,0,$AA150/'Control Panel'!$C$80),0))</f>
        <v/>
      </c>
      <c r="P150" s="158" t="str">
        <f>IF(P$4&lt;$Z150,"",IF(SUM($D150:O150)&lt;$AA150,IF('Control Panel'!$C$80=0,0,$AA150/'Control Panel'!$C$80),0))</f>
        <v/>
      </c>
      <c r="Q150" s="158" t="str">
        <f>IF(Q$4&lt;$Z150,"",IF(SUM($D150:P150)&lt;$AA150,IF('Control Panel'!$C$80=0,0,$AA150/'Control Panel'!$C$80),0))</f>
        <v/>
      </c>
      <c r="R150" s="158" t="str">
        <f>IF(R$4&lt;$Z150,"",IF(SUM($D150:Q150)&lt;$AA150,IF('Control Panel'!$C$80=0,0,$AA150/'Control Panel'!$C$80),0))</f>
        <v/>
      </c>
      <c r="S150" s="158" t="str">
        <f>IF(S$4&lt;$Z150,"",IF(SUM($D150:R150)&lt;$AA150,IF('Control Panel'!$C$80=0,0,$AA150/'Control Panel'!$C$80),0))</f>
        <v/>
      </c>
      <c r="T150" s="158" t="str">
        <f>IF(T$4&lt;$Z150,"",IF(SUM($D150:S150)&lt;$AA150,IF('Control Panel'!$C$80=0,0,$AA150/'Control Panel'!$C$80),0))</f>
        <v/>
      </c>
      <c r="U150" s="158" t="str">
        <f>IF(U$4&lt;$Z150,"",IF(SUM($D150:T150)&lt;$AA150,IF('Control Panel'!$C$80=0,0,$AA150/'Control Panel'!$C$80),0))</f>
        <v/>
      </c>
      <c r="V150" s="158" t="str">
        <f>IF(V$4&lt;$Z150,"",IF(SUM($D150:U150)&lt;$AA150,IF('Control Panel'!$C$80=0,0,$AA150/'Control Panel'!$C$80),0))</f>
        <v/>
      </c>
      <c r="W150" s="158" t="str">
        <f>IF(W$4&lt;$Z150,"",IF(SUM($D150:V150)&lt;$AA150,IF('Control Panel'!$C$80=0,0,$AA150/'Control Panel'!$C$80),0))</f>
        <v/>
      </c>
      <c r="X150" s="238">
        <f>IF(X$4&lt;$Z150,"",IF(SUM($D150:W150)&lt;$AA150,IF('Control Panel'!$C$80=0,0,$AA150/'Control Panel'!$C$80),0))</f>
        <v>0</v>
      </c>
      <c r="Y150" s="143"/>
      <c r="Z150" s="232">
        <f t="shared" si="33"/>
        <v>20</v>
      </c>
      <c r="AA150" s="143">
        <v>0</v>
      </c>
    </row>
    <row r="151" spans="2:38" outlineLevel="1">
      <c r="C151" s="37"/>
      <c r="D151" s="37"/>
      <c r="E151" s="236">
        <f>SUM(E131:E150)</f>
        <v>19875000</v>
      </c>
      <c r="F151" s="236">
        <f>SUM(F131:F150)</f>
        <v>39750000</v>
      </c>
      <c r="G151" s="236">
        <f t="shared" ref="G151:X151" si="34">SUM(G131:G150)</f>
        <v>79500000</v>
      </c>
      <c r="H151" s="236">
        <f t="shared" si="34"/>
        <v>79500000</v>
      </c>
      <c r="I151" s="236">
        <f t="shared" si="34"/>
        <v>79500000</v>
      </c>
      <c r="J151" s="236">
        <f t="shared" si="34"/>
        <v>79500000</v>
      </c>
      <c r="K151" s="236">
        <f t="shared" si="34"/>
        <v>59625000</v>
      </c>
      <c r="L151" s="236">
        <f t="shared" si="34"/>
        <v>39750000</v>
      </c>
      <c r="M151" s="236">
        <f t="shared" si="34"/>
        <v>0</v>
      </c>
      <c r="N151" s="236">
        <f t="shared" si="34"/>
        <v>0</v>
      </c>
      <c r="O151" s="236">
        <f t="shared" si="34"/>
        <v>0</v>
      </c>
      <c r="P151" s="236">
        <f t="shared" si="34"/>
        <v>0</v>
      </c>
      <c r="Q151" s="236">
        <f t="shared" si="34"/>
        <v>0</v>
      </c>
      <c r="R151" s="236">
        <f t="shared" si="34"/>
        <v>0</v>
      </c>
      <c r="S151" s="236">
        <f t="shared" si="34"/>
        <v>0</v>
      </c>
      <c r="T151" s="236">
        <f t="shared" si="34"/>
        <v>0</v>
      </c>
      <c r="U151" s="236">
        <f t="shared" si="34"/>
        <v>0</v>
      </c>
      <c r="V151" s="236">
        <f t="shared" si="34"/>
        <v>0</v>
      </c>
      <c r="W151" s="236">
        <f t="shared" si="34"/>
        <v>0</v>
      </c>
      <c r="X151" s="236">
        <f t="shared" si="34"/>
        <v>0</v>
      </c>
      <c r="Y151" s="143"/>
      <c r="Z151" s="143"/>
      <c r="AA151" s="143"/>
    </row>
    <row r="152" spans="2:38">
      <c r="C152" s="37"/>
      <c r="D152" s="37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</row>
    <row r="153" spans="2:38" s="222" customFormat="1">
      <c r="B153" s="223" t="s">
        <v>158</v>
      </c>
      <c r="C153" s="69"/>
      <c r="D153" s="69"/>
      <c r="E153" s="227"/>
      <c r="F153" s="227"/>
      <c r="G153" s="227"/>
      <c r="H153" s="227"/>
      <c r="I153" s="227"/>
      <c r="J153" s="227"/>
      <c r="K153" s="227"/>
      <c r="L153" s="227"/>
      <c r="M153" s="227"/>
      <c r="N153" s="227"/>
      <c r="O153" s="227"/>
      <c r="P153" s="227"/>
      <c r="Q153" s="227"/>
      <c r="R153" s="227"/>
      <c r="S153" s="227"/>
      <c r="T153" s="227"/>
      <c r="U153" s="227"/>
      <c r="V153" s="227"/>
      <c r="W153" s="227"/>
      <c r="X153" s="227"/>
      <c r="Y153" s="227"/>
      <c r="Z153" s="227"/>
      <c r="AA153" s="228"/>
      <c r="AB153" s="115"/>
      <c r="AC153" s="115"/>
      <c r="AD153" s="115"/>
      <c r="AE153" s="115"/>
      <c r="AF153" s="115"/>
      <c r="AG153" s="115"/>
      <c r="AH153" s="115"/>
      <c r="AI153" s="115"/>
      <c r="AJ153" s="115"/>
      <c r="AK153" s="115"/>
      <c r="AL153" s="115"/>
    </row>
    <row r="154" spans="2:38" outlineLevel="1">
      <c r="B154" s="191" t="s">
        <v>159</v>
      </c>
      <c r="C154" s="37"/>
      <c r="D154" s="37"/>
      <c r="E154" s="143">
        <f>'Assumptions Processing'!E12</f>
        <v>0</v>
      </c>
      <c r="F154" s="143">
        <f>'Assumptions Processing'!F12</f>
        <v>0</v>
      </c>
      <c r="G154" s="143">
        <f>'Assumptions Processing'!G12</f>
        <v>0</v>
      </c>
      <c r="H154" s="143">
        <f>'Assumptions Processing'!H12</f>
        <v>320000000</v>
      </c>
      <c r="I154" s="143">
        <f>'Assumptions Processing'!I12</f>
        <v>320000000</v>
      </c>
      <c r="J154" s="143">
        <f>'Assumptions Processing'!J12</f>
        <v>320000000</v>
      </c>
      <c r="K154" s="143">
        <f>'Assumptions Processing'!K12</f>
        <v>320000000</v>
      </c>
      <c r="L154" s="143">
        <f>'Assumptions Processing'!L12</f>
        <v>320000000</v>
      </c>
      <c r="M154" s="143">
        <f>'Assumptions Processing'!M12</f>
        <v>320000000</v>
      </c>
      <c r="N154" s="143">
        <f>'Assumptions Processing'!N12</f>
        <v>320000000</v>
      </c>
      <c r="O154" s="143">
        <f>'Assumptions Processing'!O12</f>
        <v>320000000</v>
      </c>
      <c r="P154" s="143">
        <f>'Assumptions Processing'!P12</f>
        <v>320000000</v>
      </c>
      <c r="Q154" s="143">
        <f>'Assumptions Processing'!Q12</f>
        <v>320000000</v>
      </c>
      <c r="R154" s="143">
        <f>'Assumptions Processing'!R12</f>
        <v>320000000</v>
      </c>
      <c r="S154" s="143">
        <f>'Assumptions Processing'!S12</f>
        <v>320000000</v>
      </c>
      <c r="T154" s="143">
        <f>'Assumptions Processing'!T12</f>
        <v>320000000</v>
      </c>
      <c r="U154" s="143">
        <f>'Assumptions Processing'!U12</f>
        <v>320000000</v>
      </c>
      <c r="V154" s="143">
        <f>'Assumptions Processing'!V12</f>
        <v>320000000</v>
      </c>
      <c r="W154" s="143">
        <f>'Assumptions Processing'!W12</f>
        <v>320000000</v>
      </c>
      <c r="X154" s="143">
        <f>'Assumptions Processing'!X12</f>
        <v>320000000</v>
      </c>
      <c r="Y154" s="143"/>
      <c r="Z154" s="143"/>
      <c r="AA154" s="143" t="s">
        <v>144</v>
      </c>
    </row>
    <row r="155" spans="2:38" outlineLevel="1">
      <c r="B155" s="191"/>
      <c r="C155" s="37"/>
      <c r="D155" s="37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</row>
    <row r="156" spans="2:38" outlineLevel="1">
      <c r="B156" s="191"/>
      <c r="C156" s="37"/>
      <c r="D156" s="37"/>
      <c r="E156" s="225" t="s">
        <v>145</v>
      </c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</row>
    <row r="157" spans="2:38" outlineLevel="1">
      <c r="C157" s="37"/>
      <c r="D157" s="37"/>
      <c r="E157" s="229">
        <f>IF(E$4&lt;$Z157,"",IF(SUM($D157:D157)&lt;$AA157,IF('Control Panel'!$C$81=0,0,$AA157/'Control Panel'!$C$81),0))</f>
        <v>0</v>
      </c>
      <c r="F157" s="230">
        <f>IF(F$4&lt;$Z157,"",IF(SUM($D157:E157)&lt;$AA157,IF('Control Panel'!$C$81=0,0,$AA157/'Control Panel'!$C$81),0))</f>
        <v>0</v>
      </c>
      <c r="G157" s="230">
        <f>IF(G$4&lt;$Z157,"",IF(SUM($D157:F157)&lt;$AA157,IF('Control Panel'!$C$81=0,0,$AA157/'Control Panel'!$C$81),0))</f>
        <v>0</v>
      </c>
      <c r="H157" s="230">
        <f>IF(H$4&lt;$Z157,"",IF(SUM($D157:G157)&lt;$AA157,IF('Control Panel'!$C$81=0,0,$AA157/'Control Panel'!$C$81),0))</f>
        <v>0</v>
      </c>
      <c r="I157" s="230">
        <f>IF(I$4&lt;$Z157,"",IF(SUM($D157:H157)&lt;$AA157,IF('Control Panel'!$C$81=0,0,$AA157/'Control Panel'!$C$81),0))</f>
        <v>0</v>
      </c>
      <c r="J157" s="230">
        <f>IF(J$4&lt;$Z157,"",IF(SUM($D157:I157)&lt;$AA157,IF('Control Panel'!$C$81=0,0,$AA157/'Control Panel'!$C$81),0))</f>
        <v>0</v>
      </c>
      <c r="K157" s="230">
        <f>IF(K$4&lt;$Z157,"",IF(SUM($D157:J157)&lt;$AA157,IF('Control Panel'!$C$81=0,0,$AA157/'Control Panel'!$C$81),0))</f>
        <v>0</v>
      </c>
      <c r="L157" s="230">
        <f>IF(L$4&lt;$Z157,"",IF(SUM($D157:K157)&lt;$AA157,IF('Control Panel'!$C$81=0,0,$AA157/'Control Panel'!$C$81),0))</f>
        <v>0</v>
      </c>
      <c r="M157" s="230">
        <f>IF(M$4&lt;$Z157,"",IF(SUM($D157:L157)&lt;$AA157,IF('Control Panel'!$C$81=0,0,$AA157/'Control Panel'!$C$81),0))</f>
        <v>0</v>
      </c>
      <c r="N157" s="230">
        <f>IF(N$4&lt;$Z157,"",IF(SUM($D157:M157)&lt;$AA157,IF('Control Panel'!$C$81=0,0,$AA157/'Control Panel'!$C$81),0))</f>
        <v>0</v>
      </c>
      <c r="O157" s="230">
        <f>IF(O$4&lt;$Z157,"",IF(SUM($D157:N157)&lt;$AA157,IF('Control Panel'!$C$81=0,0,$AA157/'Control Panel'!$C$81),0))</f>
        <v>0</v>
      </c>
      <c r="P157" s="230">
        <f>IF(P$4&lt;$Z157,"",IF(SUM($D157:O157)&lt;$AA157,IF('Control Panel'!$C$81=0,0,$AA157/'Control Panel'!$C$81),0))</f>
        <v>0</v>
      </c>
      <c r="Q157" s="230">
        <f>IF(Q$4&lt;$Z157,"",IF(SUM($D157:P157)&lt;$AA157,IF('Control Panel'!$C$81=0,0,$AA157/'Control Panel'!$C$81),0))</f>
        <v>0</v>
      </c>
      <c r="R157" s="230">
        <f>IF(R$4&lt;$Z157,"",IF(SUM($D157:Q157)&lt;$AA157,IF('Control Panel'!$C$81=0,0,$AA157/'Control Panel'!$C$81),0))</f>
        <v>0</v>
      </c>
      <c r="S157" s="230">
        <f>IF(S$4&lt;$Z157,"",IF(SUM($D157:R157)&lt;$AA157,IF('Control Panel'!$C$81=0,0,$AA157/'Control Panel'!$C$81),0))</f>
        <v>0</v>
      </c>
      <c r="T157" s="230">
        <f>IF(T$4&lt;$Z157,"",IF(SUM($D157:S157)&lt;$AA157,IF('Control Panel'!$C$81=0,0,$AA157/'Control Panel'!$C$81),0))</f>
        <v>0</v>
      </c>
      <c r="U157" s="230">
        <f>IF(U$4&lt;$Z157,"",IF(SUM($D157:T157)&lt;$AA157,IF('Control Panel'!$C$81=0,0,$AA157/'Control Panel'!$C$81),0))</f>
        <v>0</v>
      </c>
      <c r="V157" s="230">
        <f>IF(V$4&lt;$Z157,"",IF(SUM($D157:U157)&lt;$AA157,IF('Control Panel'!$C$81=0,0,$AA157/'Control Panel'!$C$81),0))</f>
        <v>0</v>
      </c>
      <c r="W157" s="230">
        <f>IF(W$4&lt;$Z157,"",IF(SUM($D157:V157)&lt;$AA157,IF('Control Panel'!$C$81=0,0,$AA157/'Control Panel'!$C$81),0))</f>
        <v>0</v>
      </c>
      <c r="X157" s="231">
        <f>IF(X$4&lt;$Z157,"",IF(SUM($D157:W157)&lt;$AA157,IF('Control Panel'!$C$81=0,0,$AA157/'Control Panel'!$C$81),0))</f>
        <v>0</v>
      </c>
      <c r="Y157" s="143"/>
      <c r="Z157" s="232">
        <v>1</v>
      </c>
      <c r="AA157" s="143">
        <f t="array" ref="AA157:AA176">TRANSPOSE(E154:X154)</f>
        <v>0</v>
      </c>
    </row>
    <row r="158" spans="2:38" outlineLevel="1">
      <c r="C158" s="37"/>
      <c r="D158" s="37"/>
      <c r="E158" s="233" t="str">
        <f>IF(E$4&lt;$Z158,"",IF(SUM($D158:D158)&lt;$AA158,IF('Control Panel'!$C$81=0,0,$AA158/'Control Panel'!$C$81),0))</f>
        <v/>
      </c>
      <c r="F158" s="234">
        <f>IF(F$4&lt;$Z158,"",IF(SUM($D158:E158)&lt;$AA158,IF('Control Panel'!$C$81=0,0,$AA158/'Control Panel'!$C$81),0))</f>
        <v>0</v>
      </c>
      <c r="G158" s="234">
        <f>IF(G$4&lt;$Z158,"",IF(SUM($D158:F158)&lt;$AA158,IF('Control Panel'!$C$81=0,0,$AA158/'Control Panel'!$C$81),0))</f>
        <v>0</v>
      </c>
      <c r="H158" s="234">
        <f>IF(H$4&lt;$Z158,"",IF(SUM($D158:G158)&lt;$AA158,IF('Control Panel'!$C$81=0,0,$AA158/'Control Panel'!$C$81),0))</f>
        <v>0</v>
      </c>
      <c r="I158" s="234">
        <f>IF(I$4&lt;$Z158,"",IF(SUM($D158:H158)&lt;$AA158,IF('Control Panel'!$C$81=0,0,$AA158/'Control Panel'!$C$81),0))</f>
        <v>0</v>
      </c>
      <c r="J158" s="234">
        <f>IF(J$4&lt;$Z158,"",IF(SUM($D158:I158)&lt;$AA158,IF('Control Panel'!$C$81=0,0,$AA158/'Control Panel'!$C$81),0))</f>
        <v>0</v>
      </c>
      <c r="K158" s="234">
        <f>IF(K$4&lt;$Z158,"",IF(SUM($D158:J158)&lt;$AA158,IF('Control Panel'!$C$81=0,0,$AA158/'Control Panel'!$C$81),0))</f>
        <v>0</v>
      </c>
      <c r="L158" s="234">
        <f>IF(L$4&lt;$Z158,"",IF(SUM($D158:K158)&lt;$AA158,IF('Control Panel'!$C$81=0,0,$AA158/'Control Panel'!$C$81),0))</f>
        <v>0</v>
      </c>
      <c r="M158" s="234">
        <f>IF(M$4&lt;$Z158,"",IF(SUM($D158:L158)&lt;$AA158,IF('Control Panel'!$C$81=0,0,$AA158/'Control Panel'!$C$81),0))</f>
        <v>0</v>
      </c>
      <c r="N158" s="234">
        <f>IF(N$4&lt;$Z158,"",IF(SUM($D158:M158)&lt;$AA158,IF('Control Panel'!$C$81=0,0,$AA158/'Control Panel'!$C$81),0))</f>
        <v>0</v>
      </c>
      <c r="O158" s="234">
        <f>IF(O$4&lt;$Z158,"",IF(SUM($D158:N158)&lt;$AA158,IF('Control Panel'!$C$81=0,0,$AA158/'Control Panel'!$C$81),0))</f>
        <v>0</v>
      </c>
      <c r="P158" s="234">
        <f>IF(P$4&lt;$Z158,"",IF(SUM($D158:O158)&lt;$AA158,IF('Control Panel'!$C$81=0,0,$AA158/'Control Panel'!$C$81),0))</f>
        <v>0</v>
      </c>
      <c r="Q158" s="234">
        <f>IF(Q$4&lt;$Z158,"",IF(SUM($D158:P158)&lt;$AA158,IF('Control Panel'!$C$81=0,0,$AA158/'Control Panel'!$C$81),0))</f>
        <v>0</v>
      </c>
      <c r="R158" s="234">
        <f>IF(R$4&lt;$Z158,"",IF(SUM($D158:Q158)&lt;$AA158,IF('Control Panel'!$C$81=0,0,$AA158/'Control Panel'!$C$81),0))</f>
        <v>0</v>
      </c>
      <c r="S158" s="234">
        <f>IF(S$4&lt;$Z158,"",IF(SUM($D158:R158)&lt;$AA158,IF('Control Panel'!$C$81=0,0,$AA158/'Control Panel'!$C$81),0))</f>
        <v>0</v>
      </c>
      <c r="T158" s="234">
        <f>IF(T$4&lt;$Z158,"",IF(SUM($D158:S158)&lt;$AA158,IF('Control Panel'!$C$81=0,0,$AA158/'Control Panel'!$C$81),0))</f>
        <v>0</v>
      </c>
      <c r="U158" s="234">
        <f>IF(U$4&lt;$Z158,"",IF(SUM($D158:T158)&lt;$AA158,IF('Control Panel'!$C$81=0,0,$AA158/'Control Panel'!$C$81),0))</f>
        <v>0</v>
      </c>
      <c r="V158" s="234">
        <f>IF(V$4&lt;$Z158,"",IF(SUM($D158:U158)&lt;$AA158,IF('Control Panel'!$C$81=0,0,$AA158/'Control Panel'!$C$81),0))</f>
        <v>0</v>
      </c>
      <c r="W158" s="234">
        <f>IF(W$4&lt;$Z158,"",IF(SUM($D158:V158)&lt;$AA158,IF('Control Panel'!$C$81=0,0,$AA158/'Control Panel'!$C$81),0))</f>
        <v>0</v>
      </c>
      <c r="X158" s="235">
        <f>IF(X$4&lt;$Z158,"",IF(SUM($D158:W158)&lt;$AA158,IF('Control Panel'!$C$81=0,0,$AA158/'Control Panel'!$C$81),0))</f>
        <v>0</v>
      </c>
      <c r="Y158" s="143"/>
      <c r="Z158" s="232">
        <f>Z157+1</f>
        <v>2</v>
      </c>
      <c r="AA158" s="143">
        <v>0</v>
      </c>
    </row>
    <row r="159" spans="2:38" outlineLevel="1">
      <c r="C159" s="37"/>
      <c r="D159" s="37"/>
      <c r="E159" s="233" t="str">
        <f>IF(E$4&lt;$Z159,"",IF(SUM($D159:D159)&lt;$AA159,IF('Control Panel'!$C$81=0,0,$AA159/'Control Panel'!$C$81),0))</f>
        <v/>
      </c>
      <c r="F159" s="234" t="str">
        <f>IF(F$4&lt;$Z159,"",IF(SUM($D159:E159)&lt;$AA159,IF('Control Panel'!$C$81=0,0,$AA159/'Control Panel'!$C$81),0))</f>
        <v/>
      </c>
      <c r="G159" s="234">
        <f>IF(G$4&lt;$Z159,"",IF(SUM($D159:F159)&lt;$AA159,IF('Control Panel'!$C$81=0,0,$AA159/'Control Panel'!$C$81),0))</f>
        <v>0</v>
      </c>
      <c r="H159" s="234">
        <f>IF(H$4&lt;$Z159,"",IF(SUM($D159:G159)&lt;$AA159,IF('Control Panel'!$C$81=0,0,$AA159/'Control Panel'!$C$81),0))</f>
        <v>0</v>
      </c>
      <c r="I159" s="234">
        <f>IF(I$4&lt;$Z159,"",IF(SUM($D159:H159)&lt;$AA159,IF('Control Panel'!$C$81=0,0,$AA159/'Control Panel'!$C$81),0))</f>
        <v>0</v>
      </c>
      <c r="J159" s="234">
        <f>IF(J$4&lt;$Z159,"",IF(SUM($D159:I159)&lt;$AA159,IF('Control Panel'!$C$81=0,0,$AA159/'Control Panel'!$C$81),0))</f>
        <v>0</v>
      </c>
      <c r="K159" s="234">
        <f>IF(K$4&lt;$Z159,"",IF(SUM($D159:J159)&lt;$AA159,IF('Control Panel'!$C$81=0,0,$AA159/'Control Panel'!$C$81),0))</f>
        <v>0</v>
      </c>
      <c r="L159" s="234">
        <f>IF(L$4&lt;$Z159,"",IF(SUM($D159:K159)&lt;$AA159,IF('Control Panel'!$C$81=0,0,$AA159/'Control Panel'!$C$81),0))</f>
        <v>0</v>
      </c>
      <c r="M159" s="234">
        <f>IF(M$4&lt;$Z159,"",IF(SUM($D159:L159)&lt;$AA159,IF('Control Panel'!$C$81=0,0,$AA159/'Control Panel'!$C$81),0))</f>
        <v>0</v>
      </c>
      <c r="N159" s="234">
        <f>IF(N$4&lt;$Z159,"",IF(SUM($D159:M159)&lt;$AA159,IF('Control Panel'!$C$81=0,0,$AA159/'Control Panel'!$C$81),0))</f>
        <v>0</v>
      </c>
      <c r="O159" s="234">
        <f>IF(O$4&lt;$Z159,"",IF(SUM($D159:N159)&lt;$AA159,IF('Control Panel'!$C$81=0,0,$AA159/'Control Panel'!$C$81),0))</f>
        <v>0</v>
      </c>
      <c r="P159" s="234">
        <f>IF(P$4&lt;$Z159,"",IF(SUM($D159:O159)&lt;$AA159,IF('Control Panel'!$C$81=0,0,$AA159/'Control Panel'!$C$81),0))</f>
        <v>0</v>
      </c>
      <c r="Q159" s="234">
        <f>IF(Q$4&lt;$Z159,"",IF(SUM($D159:P159)&lt;$AA159,IF('Control Panel'!$C$81=0,0,$AA159/'Control Panel'!$C$81),0))</f>
        <v>0</v>
      </c>
      <c r="R159" s="234">
        <f>IF(R$4&lt;$Z159,"",IF(SUM($D159:Q159)&lt;$AA159,IF('Control Panel'!$C$81=0,0,$AA159/'Control Panel'!$C$81),0))</f>
        <v>0</v>
      </c>
      <c r="S159" s="234">
        <f>IF(S$4&lt;$Z159,"",IF(SUM($D159:R159)&lt;$AA159,IF('Control Panel'!$C$81=0,0,$AA159/'Control Panel'!$C$81),0))</f>
        <v>0</v>
      </c>
      <c r="T159" s="234">
        <f>IF(T$4&lt;$Z159,"",IF(SUM($D159:S159)&lt;$AA159,IF('Control Panel'!$C$81=0,0,$AA159/'Control Panel'!$C$81),0))</f>
        <v>0</v>
      </c>
      <c r="U159" s="234">
        <f>IF(U$4&lt;$Z159,"",IF(SUM($D159:T159)&lt;$AA159,IF('Control Panel'!$C$81=0,0,$AA159/'Control Panel'!$C$81),0))</f>
        <v>0</v>
      </c>
      <c r="V159" s="234">
        <f>IF(V$4&lt;$Z159,"",IF(SUM($D159:U159)&lt;$AA159,IF('Control Panel'!$C$81=0,0,$AA159/'Control Panel'!$C$81),0))</f>
        <v>0</v>
      </c>
      <c r="W159" s="234">
        <f>IF(W$4&lt;$Z159,"",IF(SUM($D159:V159)&lt;$AA159,IF('Control Panel'!$C$81=0,0,$AA159/'Control Panel'!$C$81),0))</f>
        <v>0</v>
      </c>
      <c r="X159" s="235">
        <f>IF(X$4&lt;$Z159,"",IF(SUM($D159:W159)&lt;$AA159,IF('Control Panel'!$C$81=0,0,$AA159/'Control Panel'!$C$81),0))</f>
        <v>0</v>
      </c>
      <c r="Y159" s="143"/>
      <c r="Z159" s="232">
        <f t="shared" ref="Z159:Z176" si="35">Z158+1</f>
        <v>3</v>
      </c>
      <c r="AA159" s="143">
        <v>0</v>
      </c>
    </row>
    <row r="160" spans="2:38" outlineLevel="1">
      <c r="C160" s="37"/>
      <c r="D160" s="37"/>
      <c r="E160" s="233" t="str">
        <f>IF(E$4&lt;$Z160,"",IF(SUM($D160:D160)&lt;$AA160,IF('Control Panel'!$C$81=0,0,$AA160/'Control Panel'!$C$81),0))</f>
        <v/>
      </c>
      <c r="F160" s="234" t="str">
        <f>IF(F$4&lt;$Z160,"",IF(SUM($D160:E160)&lt;$AA160,IF('Control Panel'!$C$81=0,0,$AA160/'Control Panel'!$C$81),0))</f>
        <v/>
      </c>
      <c r="G160" s="234" t="str">
        <f>IF(G$4&lt;$Z160,"",IF(SUM($D160:F160)&lt;$AA160,IF('Control Panel'!$C$81=0,0,$AA160/'Control Panel'!$C$81),0))</f>
        <v/>
      </c>
      <c r="H160" s="234">
        <f>IF(H$4&lt;$Z160,"",IF(SUM($D160:G160)&lt;$AA160,IF('Control Panel'!$C$81=0,0,$AA160/'Control Panel'!$C$81),0))</f>
        <v>53333333.333333336</v>
      </c>
      <c r="I160" s="234">
        <f>IF(I$4&lt;$Z160,"",IF(SUM($D160:H160)&lt;$AA160,IF('Control Panel'!$C$81=0,0,$AA160/'Control Panel'!$C$81),0))</f>
        <v>53333333.333333336</v>
      </c>
      <c r="J160" s="234">
        <f>IF(J$4&lt;$Z160,"",IF(SUM($D160:I160)&lt;$AA160,IF('Control Panel'!$C$81=0,0,$AA160/'Control Panel'!$C$81),0))</f>
        <v>53333333.333333336</v>
      </c>
      <c r="K160" s="234">
        <f>IF(K$4&lt;$Z160,"",IF(SUM($D160:J160)&lt;$AA160,IF('Control Panel'!$C$81=0,0,$AA160/'Control Panel'!$C$81),0))</f>
        <v>53333333.333333336</v>
      </c>
      <c r="L160" s="234">
        <f>IF(L$4&lt;$Z160,"",IF(SUM($D160:K160)&lt;$AA160,IF('Control Panel'!$C$81=0,0,$AA160/'Control Panel'!$C$81),0))</f>
        <v>53333333.333333336</v>
      </c>
      <c r="M160" s="234">
        <f>IF(M$4&lt;$Z160,"",IF(SUM($D160:L160)&lt;$AA160,IF('Control Panel'!$C$81=0,0,$AA160/'Control Panel'!$C$81),0))</f>
        <v>53333333.333333336</v>
      </c>
      <c r="N160" s="234">
        <f>IF(N$4&lt;$Z160,"",IF(SUM($D160:M160)&lt;$AA160,IF('Control Panel'!$C$81=0,0,$AA160/'Control Panel'!$C$81),0))</f>
        <v>0</v>
      </c>
      <c r="O160" s="234">
        <f>IF(O$4&lt;$Z160,"",IF(SUM($D160:N160)&lt;$AA160,IF('Control Panel'!$C$81=0,0,$AA160/'Control Panel'!$C$81),0))</f>
        <v>0</v>
      </c>
      <c r="P160" s="234">
        <f>IF(P$4&lt;$Z160,"",IF(SUM($D160:O160)&lt;$AA160,IF('Control Panel'!$C$81=0,0,$AA160/'Control Panel'!$C$81),0))</f>
        <v>0</v>
      </c>
      <c r="Q160" s="234">
        <f>IF(Q$4&lt;$Z160,"",IF(SUM($D160:P160)&lt;$AA160,IF('Control Panel'!$C$81=0,0,$AA160/'Control Panel'!$C$81),0))</f>
        <v>0</v>
      </c>
      <c r="R160" s="234">
        <f>IF(R$4&lt;$Z160,"",IF(SUM($D160:Q160)&lt;$AA160,IF('Control Panel'!$C$81=0,0,$AA160/'Control Panel'!$C$81),0))</f>
        <v>0</v>
      </c>
      <c r="S160" s="234">
        <f>IF(S$4&lt;$Z160,"",IF(SUM($D160:R160)&lt;$AA160,IF('Control Panel'!$C$81=0,0,$AA160/'Control Panel'!$C$81),0))</f>
        <v>0</v>
      </c>
      <c r="T160" s="234">
        <f>IF(T$4&lt;$Z160,"",IF(SUM($D160:S160)&lt;$AA160,IF('Control Panel'!$C$81=0,0,$AA160/'Control Panel'!$C$81),0))</f>
        <v>0</v>
      </c>
      <c r="U160" s="234">
        <f>IF(U$4&lt;$Z160,"",IF(SUM($D160:T160)&lt;$AA160,IF('Control Panel'!$C$81=0,0,$AA160/'Control Panel'!$C$81),0))</f>
        <v>0</v>
      </c>
      <c r="V160" s="234">
        <f>IF(V$4&lt;$Z160,"",IF(SUM($D160:U160)&lt;$AA160,IF('Control Panel'!$C$81=0,0,$AA160/'Control Panel'!$C$81),0))</f>
        <v>0</v>
      </c>
      <c r="W160" s="234">
        <f>IF(W$4&lt;$Z160,"",IF(SUM($D160:V160)&lt;$AA160,IF('Control Panel'!$C$81=0,0,$AA160/'Control Panel'!$C$81),0))</f>
        <v>0</v>
      </c>
      <c r="X160" s="235">
        <f>IF(X$4&lt;$Z160,"",IF(SUM($D160:W160)&lt;$AA160,IF('Control Panel'!$C$81=0,0,$AA160/'Control Panel'!$C$81),0))</f>
        <v>0</v>
      </c>
      <c r="Y160" s="143"/>
      <c r="Z160" s="232">
        <f t="shared" si="35"/>
        <v>4</v>
      </c>
      <c r="AA160" s="143">
        <v>320000000</v>
      </c>
    </row>
    <row r="161" spans="3:27" outlineLevel="1">
      <c r="C161" s="37"/>
      <c r="D161" s="37"/>
      <c r="E161" s="233" t="str">
        <f>IF(E$4&lt;$Z161,"",IF(SUM($D161:D161)&lt;$AA161,IF('Control Panel'!$C$81=0,0,$AA161/'Control Panel'!$C$81),0))</f>
        <v/>
      </c>
      <c r="F161" s="234" t="str">
        <f>IF(F$4&lt;$Z161,"",IF(SUM($D161:E161)&lt;$AA161,IF('Control Panel'!$C$81=0,0,$AA161/'Control Panel'!$C$81),0))</f>
        <v/>
      </c>
      <c r="G161" s="234" t="str">
        <f>IF(G$4&lt;$Z161,"",IF(SUM($D161:F161)&lt;$AA161,IF('Control Panel'!$C$81=0,0,$AA161/'Control Panel'!$C$81),0))</f>
        <v/>
      </c>
      <c r="H161" s="234" t="str">
        <f>IF(H$4&lt;$Z161,"",IF(SUM($D161:G161)&lt;$AA161,IF('Control Panel'!$C$81=0,0,$AA161/'Control Panel'!$C$81),0))</f>
        <v/>
      </c>
      <c r="I161" s="234">
        <f>IF(I$4&lt;$Z161,"",IF(SUM($D161:H161)&lt;$AA161,IF('Control Panel'!$C$81=0,0,$AA161/'Control Panel'!$C$81),0))</f>
        <v>53333333.333333336</v>
      </c>
      <c r="J161" s="234">
        <f>IF(J$4&lt;$Z161,"",IF(SUM($D161:I161)&lt;$AA161,IF('Control Panel'!$C$81=0,0,$AA161/'Control Panel'!$C$81),0))</f>
        <v>53333333.333333336</v>
      </c>
      <c r="K161" s="234">
        <f>IF(K$4&lt;$Z161,"",IF(SUM($D161:J161)&lt;$AA161,IF('Control Panel'!$C$81=0,0,$AA161/'Control Panel'!$C$81),0))</f>
        <v>53333333.333333336</v>
      </c>
      <c r="L161" s="234">
        <f>IF(L$4&lt;$Z161,"",IF(SUM($D161:K161)&lt;$AA161,IF('Control Panel'!$C$81=0,0,$AA161/'Control Panel'!$C$81),0))</f>
        <v>53333333.333333336</v>
      </c>
      <c r="M161" s="234">
        <f>IF(M$4&lt;$Z161,"",IF(SUM($D161:L161)&lt;$AA161,IF('Control Panel'!$C$81=0,0,$AA161/'Control Panel'!$C$81),0))</f>
        <v>53333333.333333336</v>
      </c>
      <c r="N161" s="234">
        <f>IF(N$4&lt;$Z161,"",IF(SUM($D161:M161)&lt;$AA161,IF('Control Panel'!$C$81=0,0,$AA161/'Control Panel'!$C$81),0))</f>
        <v>53333333.333333336</v>
      </c>
      <c r="O161" s="234">
        <f>IF(O$4&lt;$Z161,"",IF(SUM($D161:N161)&lt;$AA161,IF('Control Panel'!$C$81=0,0,$AA161/'Control Panel'!$C$81),0))</f>
        <v>0</v>
      </c>
      <c r="P161" s="234">
        <f>IF(P$4&lt;$Z161,"",IF(SUM($D161:O161)&lt;$AA161,IF('Control Panel'!$C$81=0,0,$AA161/'Control Panel'!$C$81),0))</f>
        <v>0</v>
      </c>
      <c r="Q161" s="234">
        <f>IF(Q$4&lt;$Z161,"",IF(SUM($D161:P161)&lt;$AA161,IF('Control Panel'!$C$81=0,0,$AA161/'Control Panel'!$C$81),0))</f>
        <v>0</v>
      </c>
      <c r="R161" s="234">
        <f>IF(R$4&lt;$Z161,"",IF(SUM($D161:Q161)&lt;$AA161,IF('Control Panel'!$C$81=0,0,$AA161/'Control Panel'!$C$81),0))</f>
        <v>0</v>
      </c>
      <c r="S161" s="234">
        <f>IF(S$4&lt;$Z161,"",IF(SUM($D161:R161)&lt;$AA161,IF('Control Panel'!$C$81=0,0,$AA161/'Control Panel'!$C$81),0))</f>
        <v>0</v>
      </c>
      <c r="T161" s="234">
        <f>IF(T$4&lt;$Z161,"",IF(SUM($D161:S161)&lt;$AA161,IF('Control Panel'!$C$81=0,0,$AA161/'Control Panel'!$C$81),0))</f>
        <v>0</v>
      </c>
      <c r="U161" s="234">
        <f>IF(U$4&lt;$Z161,"",IF(SUM($D161:T161)&lt;$AA161,IF('Control Panel'!$C$81=0,0,$AA161/'Control Panel'!$C$81),0))</f>
        <v>0</v>
      </c>
      <c r="V161" s="234">
        <f>IF(V$4&lt;$Z161,"",IF(SUM($D161:U161)&lt;$AA161,IF('Control Panel'!$C$81=0,0,$AA161/'Control Panel'!$C$81),0))</f>
        <v>0</v>
      </c>
      <c r="W161" s="234">
        <f>IF(W$4&lt;$Z161,"",IF(SUM($D161:V161)&lt;$AA161,IF('Control Panel'!$C$81=0,0,$AA161/'Control Panel'!$C$81),0))</f>
        <v>0</v>
      </c>
      <c r="X161" s="235">
        <f>IF(X$4&lt;$Z161,"",IF(SUM($D161:W161)&lt;$AA161,IF('Control Panel'!$C$81=0,0,$AA161/'Control Panel'!$C$81),0))</f>
        <v>0</v>
      </c>
      <c r="Y161" s="143"/>
      <c r="Z161" s="232">
        <f t="shared" si="35"/>
        <v>5</v>
      </c>
      <c r="AA161" s="143">
        <v>320000000</v>
      </c>
    </row>
    <row r="162" spans="3:27" outlineLevel="1">
      <c r="C162" s="37"/>
      <c r="D162" s="37"/>
      <c r="E162" s="233" t="str">
        <f>IF(E$4&lt;$Z162,"",IF(SUM($D162:D162)&lt;$AA162,IF('Control Panel'!$C$81=0,0,$AA162/'Control Panel'!$C$81),0))</f>
        <v/>
      </c>
      <c r="F162" s="234" t="str">
        <f>IF(F$4&lt;$Z162,"",IF(SUM($D162:E162)&lt;$AA162,IF('Control Panel'!$C$81=0,0,$AA162/'Control Panel'!$C$81),0))</f>
        <v/>
      </c>
      <c r="G162" s="234" t="str">
        <f>IF(G$4&lt;$Z162,"",IF(SUM($D162:F162)&lt;$AA162,IF('Control Panel'!$C$81=0,0,$AA162/'Control Panel'!$C$81),0))</f>
        <v/>
      </c>
      <c r="H162" s="234" t="str">
        <f>IF(H$4&lt;$Z162,"",IF(SUM($D162:G162)&lt;$AA162,IF('Control Panel'!$C$81=0,0,$AA162/'Control Panel'!$C$81),0))</f>
        <v/>
      </c>
      <c r="I162" s="234" t="str">
        <f>IF(I$4&lt;$Z162,"",IF(SUM($D162:H162)&lt;$AA162,IF('Control Panel'!$C$81=0,0,$AA162/'Control Panel'!$C$81),0))</f>
        <v/>
      </c>
      <c r="J162" s="234">
        <f>IF(J$4&lt;$Z162,"",IF(SUM($D162:I162)&lt;$AA162,IF('Control Panel'!$C$81=0,0,$AA162/'Control Panel'!$C$81),0))</f>
        <v>53333333.333333336</v>
      </c>
      <c r="K162" s="234">
        <f>IF(K$4&lt;$Z162,"",IF(SUM($D162:J162)&lt;$AA162,IF('Control Panel'!$C$81=0,0,$AA162/'Control Panel'!$C$81),0))</f>
        <v>53333333.333333336</v>
      </c>
      <c r="L162" s="234">
        <f>IF(L$4&lt;$Z162,"",IF(SUM($D162:K162)&lt;$AA162,IF('Control Panel'!$C$81=0,0,$AA162/'Control Panel'!$C$81),0))</f>
        <v>53333333.333333336</v>
      </c>
      <c r="M162" s="234">
        <f>IF(M$4&lt;$Z162,"",IF(SUM($D162:L162)&lt;$AA162,IF('Control Panel'!$C$81=0,0,$AA162/'Control Panel'!$C$81),0))</f>
        <v>53333333.333333336</v>
      </c>
      <c r="N162" s="234">
        <f>IF(N$4&lt;$Z162,"",IF(SUM($D162:M162)&lt;$AA162,IF('Control Panel'!$C$81=0,0,$AA162/'Control Panel'!$C$81),0))</f>
        <v>53333333.333333336</v>
      </c>
      <c r="O162" s="234">
        <f>IF(O$4&lt;$Z162,"",IF(SUM($D162:N162)&lt;$AA162,IF('Control Panel'!$C$81=0,0,$AA162/'Control Panel'!$C$81),0))</f>
        <v>53333333.333333336</v>
      </c>
      <c r="P162" s="234">
        <f>IF(P$4&lt;$Z162,"",IF(SUM($D162:O162)&lt;$AA162,IF('Control Panel'!$C$81=0,0,$AA162/'Control Panel'!$C$81),0))</f>
        <v>0</v>
      </c>
      <c r="Q162" s="234">
        <f>IF(Q$4&lt;$Z162,"",IF(SUM($D162:P162)&lt;$AA162,IF('Control Panel'!$C$81=0,0,$AA162/'Control Panel'!$C$81),0))</f>
        <v>0</v>
      </c>
      <c r="R162" s="234">
        <f>IF(R$4&lt;$Z162,"",IF(SUM($D162:Q162)&lt;$AA162,IF('Control Panel'!$C$81=0,0,$AA162/'Control Panel'!$C$81),0))</f>
        <v>0</v>
      </c>
      <c r="S162" s="234">
        <f>IF(S$4&lt;$Z162,"",IF(SUM($D162:R162)&lt;$AA162,IF('Control Panel'!$C$81=0,0,$AA162/'Control Panel'!$C$81),0))</f>
        <v>0</v>
      </c>
      <c r="T162" s="234">
        <f>IF(T$4&lt;$Z162,"",IF(SUM($D162:S162)&lt;$AA162,IF('Control Panel'!$C$81=0,0,$AA162/'Control Panel'!$C$81),0))</f>
        <v>0</v>
      </c>
      <c r="U162" s="234">
        <f>IF(U$4&lt;$Z162,"",IF(SUM($D162:T162)&lt;$AA162,IF('Control Panel'!$C$81=0,0,$AA162/'Control Panel'!$C$81),0))</f>
        <v>0</v>
      </c>
      <c r="V162" s="234">
        <f>IF(V$4&lt;$Z162,"",IF(SUM($D162:U162)&lt;$AA162,IF('Control Panel'!$C$81=0,0,$AA162/'Control Panel'!$C$81),0))</f>
        <v>0</v>
      </c>
      <c r="W162" s="234">
        <f>IF(W$4&lt;$Z162,"",IF(SUM($D162:V162)&lt;$AA162,IF('Control Panel'!$C$81=0,0,$AA162/'Control Panel'!$C$81),0))</f>
        <v>0</v>
      </c>
      <c r="X162" s="235">
        <f>IF(X$4&lt;$Z162,"",IF(SUM($D162:W162)&lt;$AA162,IF('Control Panel'!$C$81=0,0,$AA162/'Control Panel'!$C$81),0))</f>
        <v>0</v>
      </c>
      <c r="Y162" s="143"/>
      <c r="Z162" s="232">
        <f t="shared" si="35"/>
        <v>6</v>
      </c>
      <c r="AA162" s="143">
        <v>320000000</v>
      </c>
    </row>
    <row r="163" spans="3:27" outlineLevel="1">
      <c r="C163" s="37"/>
      <c r="D163" s="37"/>
      <c r="E163" s="233" t="str">
        <f>IF(E$4&lt;$Z163,"",IF(SUM($D163:D163)&lt;$AA163,IF('Control Panel'!$C$81=0,0,$AA163/'Control Panel'!$C$81),0))</f>
        <v/>
      </c>
      <c r="F163" s="234" t="str">
        <f>IF(F$4&lt;$Z163,"",IF(SUM($D163:E163)&lt;$AA163,IF('Control Panel'!$C$81=0,0,$AA163/'Control Panel'!$C$81),0))</f>
        <v/>
      </c>
      <c r="G163" s="234" t="str">
        <f>IF(G$4&lt;$Z163,"",IF(SUM($D163:F163)&lt;$AA163,IF('Control Panel'!$C$81=0,0,$AA163/'Control Panel'!$C$81),0))</f>
        <v/>
      </c>
      <c r="H163" s="234" t="str">
        <f>IF(H$4&lt;$Z163,"",IF(SUM($D163:G163)&lt;$AA163,IF('Control Panel'!$C$81=0,0,$AA163/'Control Panel'!$C$81),0))</f>
        <v/>
      </c>
      <c r="I163" s="234" t="str">
        <f>IF(I$4&lt;$Z163,"",IF(SUM($D163:H163)&lt;$AA163,IF('Control Panel'!$C$81=0,0,$AA163/'Control Panel'!$C$81),0))</f>
        <v/>
      </c>
      <c r="J163" s="234" t="str">
        <f>IF(J$4&lt;$Z163,"",IF(SUM($D163:I163)&lt;$AA163,IF('Control Panel'!$C$81=0,0,$AA163/'Control Panel'!$C$81),0))</f>
        <v/>
      </c>
      <c r="K163" s="234">
        <f>IF(K$4&lt;$Z163,"",IF(SUM($D163:J163)&lt;$AA163,IF('Control Panel'!$C$81=0,0,$AA163/'Control Panel'!$C$81),0))</f>
        <v>53333333.333333336</v>
      </c>
      <c r="L163" s="234">
        <f>IF(L$4&lt;$Z163,"",IF(SUM($D163:K163)&lt;$AA163,IF('Control Panel'!$C$81=0,0,$AA163/'Control Panel'!$C$81),0))</f>
        <v>53333333.333333336</v>
      </c>
      <c r="M163" s="234">
        <f>IF(M$4&lt;$Z163,"",IF(SUM($D163:L163)&lt;$AA163,IF('Control Panel'!$C$81=0,0,$AA163/'Control Panel'!$C$81),0))</f>
        <v>53333333.333333336</v>
      </c>
      <c r="N163" s="234">
        <f>IF(N$4&lt;$Z163,"",IF(SUM($D163:M163)&lt;$AA163,IF('Control Panel'!$C$81=0,0,$AA163/'Control Panel'!$C$81),0))</f>
        <v>53333333.333333336</v>
      </c>
      <c r="O163" s="234">
        <f>IF(O$4&lt;$Z163,"",IF(SUM($D163:N163)&lt;$AA163,IF('Control Panel'!$C$81=0,0,$AA163/'Control Panel'!$C$81),0))</f>
        <v>53333333.333333336</v>
      </c>
      <c r="P163" s="234">
        <f>IF(P$4&lt;$Z163,"",IF(SUM($D163:O163)&lt;$AA163,IF('Control Panel'!$C$81=0,0,$AA163/'Control Panel'!$C$81),0))</f>
        <v>53333333.333333336</v>
      </c>
      <c r="Q163" s="234">
        <f>IF(Q$4&lt;$Z163,"",IF(SUM($D163:P163)&lt;$AA163,IF('Control Panel'!$C$81=0,0,$AA163/'Control Panel'!$C$81),0))</f>
        <v>0</v>
      </c>
      <c r="R163" s="234">
        <f>IF(R$4&lt;$Z163,"",IF(SUM($D163:Q163)&lt;$AA163,IF('Control Panel'!$C$81=0,0,$AA163/'Control Panel'!$C$81),0))</f>
        <v>0</v>
      </c>
      <c r="S163" s="234">
        <f>IF(S$4&lt;$Z163,"",IF(SUM($D163:R163)&lt;$AA163,IF('Control Panel'!$C$81=0,0,$AA163/'Control Panel'!$C$81),0))</f>
        <v>0</v>
      </c>
      <c r="T163" s="234">
        <f>IF(T$4&lt;$Z163,"",IF(SUM($D163:S163)&lt;$AA163,IF('Control Panel'!$C$81=0,0,$AA163/'Control Panel'!$C$81),0))</f>
        <v>0</v>
      </c>
      <c r="U163" s="234">
        <f>IF(U$4&lt;$Z163,"",IF(SUM($D163:T163)&lt;$AA163,IF('Control Panel'!$C$81=0,0,$AA163/'Control Panel'!$C$81),0))</f>
        <v>0</v>
      </c>
      <c r="V163" s="234">
        <f>IF(V$4&lt;$Z163,"",IF(SUM($D163:U163)&lt;$AA163,IF('Control Panel'!$C$81=0,0,$AA163/'Control Panel'!$C$81),0))</f>
        <v>0</v>
      </c>
      <c r="W163" s="234">
        <f>IF(W$4&lt;$Z163,"",IF(SUM($D163:V163)&lt;$AA163,IF('Control Panel'!$C$81=0,0,$AA163/'Control Panel'!$C$81),0))</f>
        <v>0</v>
      </c>
      <c r="X163" s="235">
        <f>IF(X$4&lt;$Z163,"",IF(SUM($D163:W163)&lt;$AA163,IF('Control Panel'!$C$81=0,0,$AA163/'Control Panel'!$C$81),0))</f>
        <v>0</v>
      </c>
      <c r="Y163" s="143"/>
      <c r="Z163" s="232">
        <f t="shared" si="35"/>
        <v>7</v>
      </c>
      <c r="AA163" s="143">
        <v>320000000</v>
      </c>
    </row>
    <row r="164" spans="3:27" outlineLevel="1">
      <c r="C164" s="37"/>
      <c r="D164" s="37"/>
      <c r="E164" s="233" t="str">
        <f>IF(E$4&lt;$Z164,"",IF(SUM($D164:D164)&lt;$AA164,IF('Control Panel'!$C$81=0,0,$AA164/'Control Panel'!$C$81),0))</f>
        <v/>
      </c>
      <c r="F164" s="234" t="str">
        <f>IF(F$4&lt;$Z164,"",IF(SUM($D164:E164)&lt;$AA164,IF('Control Panel'!$C$81=0,0,$AA164/'Control Panel'!$C$81),0))</f>
        <v/>
      </c>
      <c r="G164" s="234" t="str">
        <f>IF(G$4&lt;$Z164,"",IF(SUM($D164:F164)&lt;$AA164,IF('Control Panel'!$C$81=0,0,$AA164/'Control Panel'!$C$81),0))</f>
        <v/>
      </c>
      <c r="H164" s="234" t="str">
        <f>IF(H$4&lt;$Z164,"",IF(SUM($D164:G164)&lt;$AA164,IF('Control Panel'!$C$81=0,0,$AA164/'Control Panel'!$C$81),0))</f>
        <v/>
      </c>
      <c r="I164" s="234" t="str">
        <f>IF(I$4&lt;$Z164,"",IF(SUM($D164:H164)&lt;$AA164,IF('Control Panel'!$C$81=0,0,$AA164/'Control Panel'!$C$81),0))</f>
        <v/>
      </c>
      <c r="J164" s="234" t="str">
        <f>IF(J$4&lt;$Z164,"",IF(SUM($D164:I164)&lt;$AA164,IF('Control Panel'!$C$81=0,0,$AA164/'Control Panel'!$C$81),0))</f>
        <v/>
      </c>
      <c r="K164" s="234" t="str">
        <f>IF(K$4&lt;$Z164,"",IF(SUM($D164:J164)&lt;$AA164,IF('Control Panel'!$C$81=0,0,$AA164/'Control Panel'!$C$81),0))</f>
        <v/>
      </c>
      <c r="L164" s="234">
        <f>IF(L$4&lt;$Z164,"",IF(SUM($D164:K164)&lt;$AA164,IF('Control Panel'!$C$81=0,0,$AA164/'Control Panel'!$C$81),0))</f>
        <v>53333333.333333336</v>
      </c>
      <c r="M164" s="234">
        <f>IF(M$4&lt;$Z164,"",IF(SUM($D164:L164)&lt;$AA164,IF('Control Panel'!$C$81=0,0,$AA164/'Control Panel'!$C$81),0))</f>
        <v>53333333.333333336</v>
      </c>
      <c r="N164" s="234">
        <f>IF(N$4&lt;$Z164,"",IF(SUM($D164:M164)&lt;$AA164,IF('Control Panel'!$C$81=0,0,$AA164/'Control Panel'!$C$81),0))</f>
        <v>53333333.333333336</v>
      </c>
      <c r="O164" s="234">
        <f>IF(O$4&lt;$Z164,"",IF(SUM($D164:N164)&lt;$AA164,IF('Control Panel'!$C$81=0,0,$AA164/'Control Panel'!$C$81),0))</f>
        <v>53333333.333333336</v>
      </c>
      <c r="P164" s="234">
        <f>IF(P$4&lt;$Z164,"",IF(SUM($D164:O164)&lt;$AA164,IF('Control Panel'!$C$81=0,0,$AA164/'Control Panel'!$C$81),0))</f>
        <v>53333333.333333336</v>
      </c>
      <c r="Q164" s="234">
        <f>IF(Q$4&lt;$Z164,"",IF(SUM($D164:P164)&lt;$AA164,IF('Control Panel'!$C$81=0,0,$AA164/'Control Panel'!$C$81),0))</f>
        <v>53333333.333333336</v>
      </c>
      <c r="R164" s="234">
        <f>IF(R$4&lt;$Z164,"",IF(SUM($D164:Q164)&lt;$AA164,IF('Control Panel'!$C$81=0,0,$AA164/'Control Panel'!$C$81),0))</f>
        <v>0</v>
      </c>
      <c r="S164" s="234">
        <f>IF(S$4&lt;$Z164,"",IF(SUM($D164:R164)&lt;$AA164,IF('Control Panel'!$C$81=0,0,$AA164/'Control Panel'!$C$81),0))</f>
        <v>0</v>
      </c>
      <c r="T164" s="234">
        <f>IF(T$4&lt;$Z164,"",IF(SUM($D164:S164)&lt;$AA164,IF('Control Panel'!$C$81=0,0,$AA164/'Control Panel'!$C$81),0))</f>
        <v>0</v>
      </c>
      <c r="U164" s="234">
        <f>IF(U$4&lt;$Z164,"",IF(SUM($D164:T164)&lt;$AA164,IF('Control Panel'!$C$81=0,0,$AA164/'Control Panel'!$C$81),0))</f>
        <v>0</v>
      </c>
      <c r="V164" s="234">
        <f>IF(V$4&lt;$Z164,"",IF(SUM($D164:U164)&lt;$AA164,IF('Control Panel'!$C$81=0,0,$AA164/'Control Panel'!$C$81),0))</f>
        <v>0</v>
      </c>
      <c r="W164" s="234">
        <f>IF(W$4&lt;$Z164,"",IF(SUM($D164:V164)&lt;$AA164,IF('Control Panel'!$C$81=0,0,$AA164/'Control Panel'!$C$81),0))</f>
        <v>0</v>
      </c>
      <c r="X164" s="235">
        <f>IF(X$4&lt;$Z164,"",IF(SUM($D164:W164)&lt;$AA164,IF('Control Panel'!$C$81=0,0,$AA164/'Control Panel'!$C$81),0))</f>
        <v>0</v>
      </c>
      <c r="Y164" s="143"/>
      <c r="Z164" s="232">
        <f t="shared" si="35"/>
        <v>8</v>
      </c>
      <c r="AA164" s="143">
        <v>320000000</v>
      </c>
    </row>
    <row r="165" spans="3:27" outlineLevel="1">
      <c r="C165" s="37"/>
      <c r="D165" s="37"/>
      <c r="E165" s="233" t="str">
        <f>IF(E$4&lt;$Z165,"",IF(SUM($D165:D165)&lt;$AA165,IF('Control Panel'!$C$81=0,0,$AA165/'Control Panel'!$C$81),0))</f>
        <v/>
      </c>
      <c r="F165" s="234" t="str">
        <f>IF(F$4&lt;$Z165,"",IF(SUM($D165:E165)&lt;$AA165,IF('Control Panel'!$C$81=0,0,$AA165/'Control Panel'!$C$81),0))</f>
        <v/>
      </c>
      <c r="G165" s="234" t="str">
        <f>IF(G$4&lt;$Z165,"",IF(SUM($D165:F165)&lt;$AA165,IF('Control Panel'!$C$81=0,0,$AA165/'Control Panel'!$C$81),0))</f>
        <v/>
      </c>
      <c r="H165" s="234" t="str">
        <f>IF(H$4&lt;$Z165,"",IF(SUM($D165:G165)&lt;$AA165,IF('Control Panel'!$C$81=0,0,$AA165/'Control Panel'!$C$81),0))</f>
        <v/>
      </c>
      <c r="I165" s="234" t="str">
        <f>IF(I$4&lt;$Z165,"",IF(SUM($D165:H165)&lt;$AA165,IF('Control Panel'!$C$81=0,0,$AA165/'Control Panel'!$C$81),0))</f>
        <v/>
      </c>
      <c r="J165" s="234" t="str">
        <f>IF(J$4&lt;$Z165,"",IF(SUM($D165:I165)&lt;$AA165,IF('Control Panel'!$C$81=0,0,$AA165/'Control Panel'!$C$81),0))</f>
        <v/>
      </c>
      <c r="K165" s="234" t="str">
        <f>IF(K$4&lt;$Z165,"",IF(SUM($D165:J165)&lt;$AA165,IF('Control Panel'!$C$81=0,0,$AA165/'Control Panel'!$C$81),0))</f>
        <v/>
      </c>
      <c r="L165" s="234" t="str">
        <f>IF(L$4&lt;$Z165,"",IF(SUM($D165:K165)&lt;$AA165,IF('Control Panel'!$C$81=0,0,$AA165/'Control Panel'!$C$81),0))</f>
        <v/>
      </c>
      <c r="M165" s="234">
        <f>IF(M$4&lt;$Z165,"",IF(SUM($D165:L165)&lt;$AA165,IF('Control Panel'!$C$81=0,0,$AA165/'Control Panel'!$C$81),0))</f>
        <v>53333333.333333336</v>
      </c>
      <c r="N165" s="234">
        <f>IF(N$4&lt;$Z165,"",IF(SUM($D165:M165)&lt;$AA165,IF('Control Panel'!$C$81=0,0,$AA165/'Control Panel'!$C$81),0))</f>
        <v>53333333.333333336</v>
      </c>
      <c r="O165" s="234">
        <f>IF(O$4&lt;$Z165,"",IF(SUM($D165:N165)&lt;$AA165,IF('Control Panel'!$C$81=0,0,$AA165/'Control Panel'!$C$81),0))</f>
        <v>53333333.333333336</v>
      </c>
      <c r="P165" s="234">
        <f>IF(P$4&lt;$Z165,"",IF(SUM($D165:O165)&lt;$AA165,IF('Control Panel'!$C$81=0,0,$AA165/'Control Panel'!$C$81),0))</f>
        <v>53333333.333333336</v>
      </c>
      <c r="Q165" s="234">
        <f>IF(Q$4&lt;$Z165,"",IF(SUM($D165:P165)&lt;$AA165,IF('Control Panel'!$C$81=0,0,$AA165/'Control Panel'!$C$81),0))</f>
        <v>53333333.333333336</v>
      </c>
      <c r="R165" s="234">
        <f>IF(R$4&lt;$Z165,"",IF(SUM($D165:Q165)&lt;$AA165,IF('Control Panel'!$C$81=0,0,$AA165/'Control Panel'!$C$81),0))</f>
        <v>53333333.333333336</v>
      </c>
      <c r="S165" s="234">
        <f>IF(S$4&lt;$Z165,"",IF(SUM($D165:R165)&lt;$AA165,IF('Control Panel'!$C$81=0,0,$AA165/'Control Panel'!$C$81),0))</f>
        <v>0</v>
      </c>
      <c r="T165" s="234">
        <f>IF(T$4&lt;$Z165,"",IF(SUM($D165:S165)&lt;$AA165,IF('Control Panel'!$C$81=0,0,$AA165/'Control Panel'!$C$81),0))</f>
        <v>0</v>
      </c>
      <c r="U165" s="234">
        <f>IF(U$4&lt;$Z165,"",IF(SUM($D165:T165)&lt;$AA165,IF('Control Panel'!$C$81=0,0,$AA165/'Control Panel'!$C$81),0))</f>
        <v>0</v>
      </c>
      <c r="V165" s="234">
        <f>IF(V$4&lt;$Z165,"",IF(SUM($D165:U165)&lt;$AA165,IF('Control Panel'!$C$81=0,0,$AA165/'Control Panel'!$C$81),0))</f>
        <v>0</v>
      </c>
      <c r="W165" s="234">
        <f>IF(W$4&lt;$Z165,"",IF(SUM($D165:V165)&lt;$AA165,IF('Control Panel'!$C$81=0,0,$AA165/'Control Panel'!$C$81),0))</f>
        <v>0</v>
      </c>
      <c r="X165" s="235">
        <f>IF(X$4&lt;$Z165,"",IF(SUM($D165:W165)&lt;$AA165,IF('Control Panel'!$C$81=0,0,$AA165/'Control Panel'!$C$81),0))</f>
        <v>0</v>
      </c>
      <c r="Y165" s="143"/>
      <c r="Z165" s="232">
        <f t="shared" si="35"/>
        <v>9</v>
      </c>
      <c r="AA165" s="143">
        <v>320000000</v>
      </c>
    </row>
    <row r="166" spans="3:27" outlineLevel="1">
      <c r="C166" s="37"/>
      <c r="D166" s="37"/>
      <c r="E166" s="233" t="str">
        <f>IF(E$4&lt;$Z166,"",IF(SUM($D166:D166)&lt;$AA166,IF('Control Panel'!$C$81=0,0,$AA166/'Control Panel'!$C$81),0))</f>
        <v/>
      </c>
      <c r="F166" s="234" t="str">
        <f>IF(F$4&lt;$Z166,"",IF(SUM($D166:E166)&lt;$AA166,IF('Control Panel'!$C$81=0,0,$AA166/'Control Panel'!$C$81),0))</f>
        <v/>
      </c>
      <c r="G166" s="234" t="str">
        <f>IF(G$4&lt;$Z166,"",IF(SUM($D166:F166)&lt;$AA166,IF('Control Panel'!$C$81=0,0,$AA166/'Control Panel'!$C$81),0))</f>
        <v/>
      </c>
      <c r="H166" s="234" t="str">
        <f>IF(H$4&lt;$Z166,"",IF(SUM($D166:G166)&lt;$AA166,IF('Control Panel'!$C$81=0,0,$AA166/'Control Panel'!$C$81),0))</f>
        <v/>
      </c>
      <c r="I166" s="234" t="str">
        <f>IF(I$4&lt;$Z166,"",IF(SUM($D166:H166)&lt;$AA166,IF('Control Panel'!$C$81=0,0,$AA166/'Control Panel'!$C$81),0))</f>
        <v/>
      </c>
      <c r="J166" s="234" t="str">
        <f>IF(J$4&lt;$Z166,"",IF(SUM($D166:I166)&lt;$AA166,IF('Control Panel'!$C$81=0,0,$AA166/'Control Panel'!$C$81),0))</f>
        <v/>
      </c>
      <c r="K166" s="234" t="str">
        <f>IF(K$4&lt;$Z166,"",IF(SUM($D166:J166)&lt;$AA166,IF('Control Panel'!$C$81=0,0,$AA166/'Control Panel'!$C$81),0))</f>
        <v/>
      </c>
      <c r="L166" s="234" t="str">
        <f>IF(L$4&lt;$Z166,"",IF(SUM($D166:K166)&lt;$AA166,IF('Control Panel'!$C$81=0,0,$AA166/'Control Panel'!$C$81),0))</f>
        <v/>
      </c>
      <c r="M166" s="234" t="str">
        <f>IF(M$4&lt;$Z166,"",IF(SUM($D166:L166)&lt;$AA166,IF('Control Panel'!$C$81=0,0,$AA166/'Control Panel'!$C$81),0))</f>
        <v/>
      </c>
      <c r="N166" s="234">
        <f>IF(N$4&lt;$Z166,"",IF(SUM($D166:M166)&lt;$AA166,IF('Control Panel'!$C$81=0,0,$AA166/'Control Panel'!$C$81),0))</f>
        <v>53333333.333333336</v>
      </c>
      <c r="O166" s="234">
        <f>IF(O$4&lt;$Z166,"",IF(SUM($D166:N166)&lt;$AA166,IF('Control Panel'!$C$81=0,0,$AA166/'Control Panel'!$C$81),0))</f>
        <v>53333333.333333336</v>
      </c>
      <c r="P166" s="234">
        <f>IF(P$4&lt;$Z166,"",IF(SUM($D166:O166)&lt;$AA166,IF('Control Panel'!$C$81=0,0,$AA166/'Control Panel'!$C$81),0))</f>
        <v>53333333.333333336</v>
      </c>
      <c r="Q166" s="234">
        <f>IF(Q$4&lt;$Z166,"",IF(SUM($D166:P166)&lt;$AA166,IF('Control Panel'!$C$81=0,0,$AA166/'Control Panel'!$C$81),0))</f>
        <v>53333333.333333336</v>
      </c>
      <c r="R166" s="234">
        <f>IF(R$4&lt;$Z166,"",IF(SUM($D166:Q166)&lt;$AA166,IF('Control Panel'!$C$81=0,0,$AA166/'Control Panel'!$C$81),0))</f>
        <v>53333333.333333336</v>
      </c>
      <c r="S166" s="234">
        <f>IF(S$4&lt;$Z166,"",IF(SUM($D166:R166)&lt;$AA166,IF('Control Panel'!$C$81=0,0,$AA166/'Control Panel'!$C$81),0))</f>
        <v>53333333.333333336</v>
      </c>
      <c r="T166" s="234">
        <f>IF(T$4&lt;$Z166,"",IF(SUM($D166:S166)&lt;$AA166,IF('Control Panel'!$C$81=0,0,$AA166/'Control Panel'!$C$81),0))</f>
        <v>0</v>
      </c>
      <c r="U166" s="234">
        <f>IF(U$4&lt;$Z166,"",IF(SUM($D166:T166)&lt;$AA166,IF('Control Panel'!$C$81=0,0,$AA166/'Control Panel'!$C$81),0))</f>
        <v>0</v>
      </c>
      <c r="V166" s="234">
        <f>IF(V$4&lt;$Z166,"",IF(SUM($D166:U166)&lt;$AA166,IF('Control Panel'!$C$81=0,0,$AA166/'Control Panel'!$C$81),0))</f>
        <v>0</v>
      </c>
      <c r="W166" s="234">
        <f>IF(W$4&lt;$Z166,"",IF(SUM($D166:V166)&lt;$AA166,IF('Control Panel'!$C$81=0,0,$AA166/'Control Panel'!$C$81),0))</f>
        <v>0</v>
      </c>
      <c r="X166" s="235">
        <f>IF(X$4&lt;$Z166,"",IF(SUM($D166:W166)&lt;$AA166,IF('Control Panel'!$C$81=0,0,$AA166/'Control Panel'!$C$81),0))</f>
        <v>0</v>
      </c>
      <c r="Y166" s="143"/>
      <c r="Z166" s="232">
        <f t="shared" si="35"/>
        <v>10</v>
      </c>
      <c r="AA166" s="143">
        <v>320000000</v>
      </c>
    </row>
    <row r="167" spans="3:27" outlineLevel="1">
      <c r="C167" s="37"/>
      <c r="D167" s="37"/>
      <c r="E167" s="233" t="str">
        <f>IF(E$4&lt;$Z167,"",IF(SUM($D167:D167)&lt;$AA167,IF('Control Panel'!$C$81=0,0,$AA167/'Control Panel'!$C$81),0))</f>
        <v/>
      </c>
      <c r="F167" s="234" t="str">
        <f>IF(F$4&lt;$Z167,"",IF(SUM($D167:E167)&lt;$AA167,IF('Control Panel'!$C$81=0,0,$AA167/'Control Panel'!$C$81),0))</f>
        <v/>
      </c>
      <c r="G167" s="234" t="str">
        <f>IF(G$4&lt;$Z167,"",IF(SUM($D167:F167)&lt;$AA167,IF('Control Panel'!$C$81=0,0,$AA167/'Control Panel'!$C$81),0))</f>
        <v/>
      </c>
      <c r="H167" s="234" t="str">
        <f>IF(H$4&lt;$Z167,"",IF(SUM($D167:G167)&lt;$AA167,IF('Control Panel'!$C$81=0,0,$AA167/'Control Panel'!$C$81),0))</f>
        <v/>
      </c>
      <c r="I167" s="234" t="str">
        <f>IF(I$4&lt;$Z167,"",IF(SUM($D167:H167)&lt;$AA167,IF('Control Panel'!$C$81=0,0,$AA167/'Control Panel'!$C$81),0))</f>
        <v/>
      </c>
      <c r="J167" s="234" t="str">
        <f>IF(J$4&lt;$Z167,"",IF(SUM($D167:I167)&lt;$AA167,IF('Control Panel'!$C$81=0,0,$AA167/'Control Panel'!$C$81),0))</f>
        <v/>
      </c>
      <c r="K167" s="234" t="str">
        <f>IF(K$4&lt;$Z167,"",IF(SUM($D167:J167)&lt;$AA167,IF('Control Panel'!$C$81=0,0,$AA167/'Control Panel'!$C$81),0))</f>
        <v/>
      </c>
      <c r="L167" s="234" t="str">
        <f>IF(L$4&lt;$Z167,"",IF(SUM($D167:K167)&lt;$AA167,IF('Control Panel'!$C$81=0,0,$AA167/'Control Panel'!$C$81),0))</f>
        <v/>
      </c>
      <c r="M167" s="234" t="str">
        <f>IF(M$4&lt;$Z167,"",IF(SUM($D167:L167)&lt;$AA167,IF('Control Panel'!$C$81=0,0,$AA167/'Control Panel'!$C$81),0))</f>
        <v/>
      </c>
      <c r="N167" s="234" t="str">
        <f>IF(N$4&lt;$Z167,"",IF(SUM($D167:M167)&lt;$AA167,IF('Control Panel'!$C$81=0,0,$AA167/'Control Panel'!$C$81),0))</f>
        <v/>
      </c>
      <c r="O167" s="234">
        <f>IF(O$4&lt;$Z167,"",IF(SUM($D167:N167)&lt;$AA167,IF('Control Panel'!$C$81=0,0,$AA167/'Control Panel'!$C$81),0))</f>
        <v>53333333.333333336</v>
      </c>
      <c r="P167" s="234">
        <f>IF(P$4&lt;$Z167,"",IF(SUM($D167:O167)&lt;$AA167,IF('Control Panel'!$C$81=0,0,$AA167/'Control Panel'!$C$81),0))</f>
        <v>53333333.333333336</v>
      </c>
      <c r="Q167" s="234">
        <f>IF(Q$4&lt;$Z167,"",IF(SUM($D167:P167)&lt;$AA167,IF('Control Panel'!$C$81=0,0,$AA167/'Control Panel'!$C$81),0))</f>
        <v>53333333.333333336</v>
      </c>
      <c r="R167" s="234">
        <f>IF(R$4&lt;$Z167,"",IF(SUM($D167:Q167)&lt;$AA167,IF('Control Panel'!$C$81=0,0,$AA167/'Control Panel'!$C$81),0))</f>
        <v>53333333.333333336</v>
      </c>
      <c r="S167" s="234">
        <f>IF(S$4&lt;$Z167,"",IF(SUM($D167:R167)&lt;$AA167,IF('Control Panel'!$C$81=0,0,$AA167/'Control Panel'!$C$81),0))</f>
        <v>53333333.333333336</v>
      </c>
      <c r="T167" s="234">
        <f>IF(T$4&lt;$Z167,"",IF(SUM($D167:S167)&lt;$AA167,IF('Control Panel'!$C$81=0,0,$AA167/'Control Panel'!$C$81),0))</f>
        <v>53333333.333333336</v>
      </c>
      <c r="U167" s="234">
        <f>IF(U$4&lt;$Z167,"",IF(SUM($D167:T167)&lt;$AA167,IF('Control Panel'!$C$81=0,0,$AA167/'Control Panel'!$C$81),0))</f>
        <v>0</v>
      </c>
      <c r="V167" s="234">
        <f>IF(V$4&lt;$Z167,"",IF(SUM($D167:U167)&lt;$AA167,IF('Control Panel'!$C$81=0,0,$AA167/'Control Panel'!$C$81),0))</f>
        <v>0</v>
      </c>
      <c r="W167" s="234">
        <f>IF(W$4&lt;$Z167,"",IF(SUM($D167:V167)&lt;$AA167,IF('Control Panel'!$C$81=0,0,$AA167/'Control Panel'!$C$81),0))</f>
        <v>0</v>
      </c>
      <c r="X167" s="235">
        <f>IF(X$4&lt;$Z167,"",IF(SUM($D167:W167)&lt;$AA167,IF('Control Panel'!$C$81=0,0,$AA167/'Control Panel'!$C$81),0))</f>
        <v>0</v>
      </c>
      <c r="Y167" s="143"/>
      <c r="Z167" s="232">
        <f t="shared" si="35"/>
        <v>11</v>
      </c>
      <c r="AA167" s="143">
        <v>320000000</v>
      </c>
    </row>
    <row r="168" spans="3:27" outlineLevel="1">
      <c r="C168" s="37"/>
      <c r="D168" s="37"/>
      <c r="E168" s="233" t="str">
        <f>IF(E$4&lt;$Z168,"",IF(SUM($D168:D168)&lt;$AA168,IF('Control Panel'!$C$81=0,0,$AA168/'Control Panel'!$C$81),0))</f>
        <v/>
      </c>
      <c r="F168" s="234" t="str">
        <f>IF(F$4&lt;$Z168,"",IF(SUM($D168:E168)&lt;$AA168,IF('Control Panel'!$C$81=0,0,$AA168/'Control Panel'!$C$81),0))</f>
        <v/>
      </c>
      <c r="G168" s="234" t="str">
        <f>IF(G$4&lt;$Z168,"",IF(SUM($D168:F168)&lt;$AA168,IF('Control Panel'!$C$81=0,0,$AA168/'Control Panel'!$C$81),0))</f>
        <v/>
      </c>
      <c r="H168" s="234" t="str">
        <f>IF(H$4&lt;$Z168,"",IF(SUM($D168:G168)&lt;$AA168,IF('Control Panel'!$C$81=0,0,$AA168/'Control Panel'!$C$81),0))</f>
        <v/>
      </c>
      <c r="I168" s="234" t="str">
        <f>IF(I$4&lt;$Z168,"",IF(SUM($D168:H168)&lt;$AA168,IF('Control Panel'!$C$81=0,0,$AA168/'Control Panel'!$C$81),0))</f>
        <v/>
      </c>
      <c r="J168" s="234" t="str">
        <f>IF(J$4&lt;$Z168,"",IF(SUM($D168:I168)&lt;$AA168,IF('Control Panel'!$C$81=0,0,$AA168/'Control Panel'!$C$81),0))</f>
        <v/>
      </c>
      <c r="K168" s="234" t="str">
        <f>IF(K$4&lt;$Z168,"",IF(SUM($D168:J168)&lt;$AA168,IF('Control Panel'!$C$81=0,0,$AA168/'Control Panel'!$C$81),0))</f>
        <v/>
      </c>
      <c r="L168" s="234" t="str">
        <f>IF(L$4&lt;$Z168,"",IF(SUM($D168:K168)&lt;$AA168,IF('Control Panel'!$C$81=0,0,$AA168/'Control Panel'!$C$81),0))</f>
        <v/>
      </c>
      <c r="M168" s="234" t="str">
        <f>IF(M$4&lt;$Z168,"",IF(SUM($D168:L168)&lt;$AA168,IF('Control Panel'!$C$81=0,0,$AA168/'Control Panel'!$C$81),0))</f>
        <v/>
      </c>
      <c r="N168" s="234" t="str">
        <f>IF(N$4&lt;$Z168,"",IF(SUM($D168:M168)&lt;$AA168,IF('Control Panel'!$C$81=0,0,$AA168/'Control Panel'!$C$81),0))</f>
        <v/>
      </c>
      <c r="O168" s="234" t="str">
        <f>IF(O$4&lt;$Z168,"",IF(SUM($D168:N168)&lt;$AA168,IF('Control Panel'!$C$81=0,0,$AA168/'Control Panel'!$C$81),0))</f>
        <v/>
      </c>
      <c r="P168" s="234">
        <f>IF(P$4&lt;$Z168,"",IF(SUM($D168:O168)&lt;$AA168,IF('Control Panel'!$C$81=0,0,$AA168/'Control Panel'!$C$81),0))</f>
        <v>53333333.333333336</v>
      </c>
      <c r="Q168" s="234">
        <f>IF(Q$4&lt;$Z168,"",IF(SUM($D168:P168)&lt;$AA168,IF('Control Panel'!$C$81=0,0,$AA168/'Control Panel'!$C$81),0))</f>
        <v>53333333.333333336</v>
      </c>
      <c r="R168" s="234">
        <f>IF(R$4&lt;$Z168,"",IF(SUM($D168:Q168)&lt;$AA168,IF('Control Panel'!$C$81=0,0,$AA168/'Control Panel'!$C$81),0))</f>
        <v>53333333.333333336</v>
      </c>
      <c r="S168" s="234">
        <f>IF(S$4&lt;$Z168,"",IF(SUM($D168:R168)&lt;$AA168,IF('Control Panel'!$C$81=0,0,$AA168/'Control Panel'!$C$81),0))</f>
        <v>53333333.333333336</v>
      </c>
      <c r="T168" s="234">
        <f>IF(T$4&lt;$Z168,"",IF(SUM($D168:S168)&lt;$AA168,IF('Control Panel'!$C$81=0,0,$AA168/'Control Panel'!$C$81),0))</f>
        <v>53333333.333333336</v>
      </c>
      <c r="U168" s="234">
        <f>IF(U$4&lt;$Z168,"",IF(SUM($D168:T168)&lt;$AA168,IF('Control Panel'!$C$81=0,0,$AA168/'Control Panel'!$C$81),0))</f>
        <v>53333333.333333336</v>
      </c>
      <c r="V168" s="234">
        <f>IF(V$4&lt;$Z168,"",IF(SUM($D168:U168)&lt;$AA168,IF('Control Panel'!$C$81=0,0,$AA168/'Control Panel'!$C$81),0))</f>
        <v>0</v>
      </c>
      <c r="W168" s="234">
        <f>IF(W$4&lt;$Z168,"",IF(SUM($D168:V168)&lt;$AA168,IF('Control Panel'!$C$81=0,0,$AA168/'Control Panel'!$C$81),0))</f>
        <v>0</v>
      </c>
      <c r="X168" s="235">
        <f>IF(X$4&lt;$Z168,"",IF(SUM($D168:W168)&lt;$AA168,IF('Control Panel'!$C$81=0,0,$AA168/'Control Panel'!$C$81),0))</f>
        <v>0</v>
      </c>
      <c r="Y168" s="143"/>
      <c r="Z168" s="232">
        <f t="shared" si="35"/>
        <v>12</v>
      </c>
      <c r="AA168" s="143">
        <v>320000000</v>
      </c>
    </row>
    <row r="169" spans="3:27" outlineLevel="1">
      <c r="C169" s="37"/>
      <c r="D169" s="37"/>
      <c r="E169" s="233" t="str">
        <f>IF(E$4&lt;$Z169,"",IF(SUM($D169:D169)&lt;$AA169,IF('Control Panel'!$C$81=0,0,$AA169/'Control Panel'!$C$81),0))</f>
        <v/>
      </c>
      <c r="F169" s="234" t="str">
        <f>IF(F$4&lt;$Z169,"",IF(SUM($D169:E169)&lt;$AA169,IF('Control Panel'!$C$81=0,0,$AA169/'Control Panel'!$C$81),0))</f>
        <v/>
      </c>
      <c r="G169" s="234" t="str">
        <f>IF(G$4&lt;$Z169,"",IF(SUM($D169:F169)&lt;$AA169,IF('Control Panel'!$C$81=0,0,$AA169/'Control Panel'!$C$81),0))</f>
        <v/>
      </c>
      <c r="H169" s="234" t="str">
        <f>IF(H$4&lt;$Z169,"",IF(SUM($D169:G169)&lt;$AA169,IF('Control Panel'!$C$81=0,0,$AA169/'Control Panel'!$C$81),0))</f>
        <v/>
      </c>
      <c r="I169" s="234" t="str">
        <f>IF(I$4&lt;$Z169,"",IF(SUM($D169:H169)&lt;$AA169,IF('Control Panel'!$C$81=0,0,$AA169/'Control Panel'!$C$81),0))</f>
        <v/>
      </c>
      <c r="J169" s="234" t="str">
        <f>IF(J$4&lt;$Z169,"",IF(SUM($D169:I169)&lt;$AA169,IF('Control Panel'!$C$81=0,0,$AA169/'Control Panel'!$C$81),0))</f>
        <v/>
      </c>
      <c r="K169" s="234" t="str">
        <f>IF(K$4&lt;$Z169,"",IF(SUM($D169:J169)&lt;$AA169,IF('Control Panel'!$C$81=0,0,$AA169/'Control Panel'!$C$81),0))</f>
        <v/>
      </c>
      <c r="L169" s="234" t="str">
        <f>IF(L$4&lt;$Z169,"",IF(SUM($D169:K169)&lt;$AA169,IF('Control Panel'!$C$81=0,0,$AA169/'Control Panel'!$C$81),0))</f>
        <v/>
      </c>
      <c r="M169" s="234" t="str">
        <f>IF(M$4&lt;$Z169,"",IF(SUM($D169:L169)&lt;$AA169,IF('Control Panel'!$C$81=0,0,$AA169/'Control Panel'!$C$81),0))</f>
        <v/>
      </c>
      <c r="N169" s="234" t="str">
        <f>IF(N$4&lt;$Z169,"",IF(SUM($D169:M169)&lt;$AA169,IF('Control Panel'!$C$81=0,0,$AA169/'Control Panel'!$C$81),0))</f>
        <v/>
      </c>
      <c r="O169" s="234" t="str">
        <f>IF(O$4&lt;$Z169,"",IF(SUM($D169:N169)&lt;$AA169,IF('Control Panel'!$C$81=0,0,$AA169/'Control Panel'!$C$81),0))</f>
        <v/>
      </c>
      <c r="P169" s="234" t="str">
        <f>IF(P$4&lt;$Z169,"",IF(SUM($D169:O169)&lt;$AA169,IF('Control Panel'!$C$81=0,0,$AA169/'Control Panel'!$C$81),0))</f>
        <v/>
      </c>
      <c r="Q169" s="234">
        <f>IF(Q$4&lt;$Z169,"",IF(SUM($D169:P169)&lt;$AA169,IF('Control Panel'!$C$81=0,0,$AA169/'Control Panel'!$C$81),0))</f>
        <v>53333333.333333336</v>
      </c>
      <c r="R169" s="234">
        <f>IF(R$4&lt;$Z169,"",IF(SUM($D169:Q169)&lt;$AA169,IF('Control Panel'!$C$81=0,0,$AA169/'Control Panel'!$C$81),0))</f>
        <v>53333333.333333336</v>
      </c>
      <c r="S169" s="234">
        <f>IF(S$4&lt;$Z169,"",IF(SUM($D169:R169)&lt;$AA169,IF('Control Panel'!$C$81=0,0,$AA169/'Control Panel'!$C$81),0))</f>
        <v>53333333.333333336</v>
      </c>
      <c r="T169" s="234">
        <f>IF(T$4&lt;$Z169,"",IF(SUM($D169:S169)&lt;$AA169,IF('Control Panel'!$C$81=0,0,$AA169/'Control Panel'!$C$81),0))</f>
        <v>53333333.333333336</v>
      </c>
      <c r="U169" s="234">
        <f>IF(U$4&lt;$Z169,"",IF(SUM($D169:T169)&lt;$AA169,IF('Control Panel'!$C$81=0,0,$AA169/'Control Panel'!$C$81),0))</f>
        <v>53333333.333333336</v>
      </c>
      <c r="V169" s="234">
        <f>IF(V$4&lt;$Z169,"",IF(SUM($D169:U169)&lt;$AA169,IF('Control Panel'!$C$81=0,0,$AA169/'Control Panel'!$C$81),0))</f>
        <v>53333333.333333336</v>
      </c>
      <c r="W169" s="234">
        <f>IF(W$4&lt;$Z169,"",IF(SUM($D169:V169)&lt;$AA169,IF('Control Panel'!$C$81=0,0,$AA169/'Control Panel'!$C$81),0))</f>
        <v>0</v>
      </c>
      <c r="X169" s="235">
        <f>IF(X$4&lt;$Z169,"",IF(SUM($D169:W169)&lt;$AA169,IF('Control Panel'!$C$81=0,0,$AA169/'Control Panel'!$C$81),0))</f>
        <v>0</v>
      </c>
      <c r="Y169" s="143"/>
      <c r="Z169" s="232">
        <f t="shared" si="35"/>
        <v>13</v>
      </c>
      <c r="AA169" s="143">
        <v>320000000</v>
      </c>
    </row>
    <row r="170" spans="3:27" outlineLevel="1">
      <c r="C170" s="37"/>
      <c r="D170" s="37"/>
      <c r="E170" s="233" t="str">
        <f>IF(E$4&lt;$Z170,"",IF(SUM($D170:D170)&lt;$AA170,IF('Control Panel'!$C$81=0,0,$AA170/'Control Panel'!$C$81),0))</f>
        <v/>
      </c>
      <c r="F170" s="234" t="str">
        <f>IF(F$4&lt;$Z170,"",IF(SUM($D170:E170)&lt;$AA170,IF('Control Panel'!$C$81=0,0,$AA170/'Control Panel'!$C$81),0))</f>
        <v/>
      </c>
      <c r="G170" s="234" t="str">
        <f>IF(G$4&lt;$Z170,"",IF(SUM($D170:F170)&lt;$AA170,IF('Control Panel'!$C$81=0,0,$AA170/'Control Panel'!$C$81),0))</f>
        <v/>
      </c>
      <c r="H170" s="234" t="str">
        <f>IF(H$4&lt;$Z170,"",IF(SUM($D170:G170)&lt;$AA170,IF('Control Panel'!$C$81=0,0,$AA170/'Control Panel'!$C$81),0))</f>
        <v/>
      </c>
      <c r="I170" s="234" t="str">
        <f>IF(I$4&lt;$Z170,"",IF(SUM($D170:H170)&lt;$AA170,IF('Control Panel'!$C$81=0,0,$AA170/'Control Panel'!$C$81),0))</f>
        <v/>
      </c>
      <c r="J170" s="234" t="str">
        <f>IF(J$4&lt;$Z170,"",IF(SUM($D170:I170)&lt;$AA170,IF('Control Panel'!$C$81=0,0,$AA170/'Control Panel'!$C$81),0))</f>
        <v/>
      </c>
      <c r="K170" s="234" t="str">
        <f>IF(K$4&lt;$Z170,"",IF(SUM($D170:J170)&lt;$AA170,IF('Control Panel'!$C$81=0,0,$AA170/'Control Panel'!$C$81),0))</f>
        <v/>
      </c>
      <c r="L170" s="234" t="str">
        <f>IF(L$4&lt;$Z170,"",IF(SUM($D170:K170)&lt;$AA170,IF('Control Panel'!$C$81=0,0,$AA170/'Control Panel'!$C$81),0))</f>
        <v/>
      </c>
      <c r="M170" s="234" t="str">
        <f>IF(M$4&lt;$Z170,"",IF(SUM($D170:L170)&lt;$AA170,IF('Control Panel'!$C$81=0,0,$AA170/'Control Panel'!$C$81),0))</f>
        <v/>
      </c>
      <c r="N170" s="234" t="str">
        <f>IF(N$4&lt;$Z170,"",IF(SUM($D170:M170)&lt;$AA170,IF('Control Panel'!$C$81=0,0,$AA170/'Control Panel'!$C$81),0))</f>
        <v/>
      </c>
      <c r="O170" s="234" t="str">
        <f>IF(O$4&lt;$Z170,"",IF(SUM($D170:N170)&lt;$AA170,IF('Control Panel'!$C$81=0,0,$AA170/'Control Panel'!$C$81),0))</f>
        <v/>
      </c>
      <c r="P170" s="234" t="str">
        <f>IF(P$4&lt;$Z170,"",IF(SUM($D170:O170)&lt;$AA170,IF('Control Panel'!$C$81=0,0,$AA170/'Control Panel'!$C$81),0))</f>
        <v/>
      </c>
      <c r="Q170" s="234" t="str">
        <f>IF(Q$4&lt;$Z170,"",IF(SUM($D170:P170)&lt;$AA170,IF('Control Panel'!$C$81=0,0,$AA170/'Control Panel'!$C$81),0))</f>
        <v/>
      </c>
      <c r="R170" s="234">
        <f>IF(R$4&lt;$Z170,"",IF(SUM($D170:Q170)&lt;$AA170,IF('Control Panel'!$C$81=0,0,$AA170/'Control Panel'!$C$81),0))</f>
        <v>53333333.333333336</v>
      </c>
      <c r="S170" s="234">
        <f>IF(S$4&lt;$Z170,"",IF(SUM($D170:R170)&lt;$AA170,IF('Control Panel'!$C$81=0,0,$AA170/'Control Panel'!$C$81),0))</f>
        <v>53333333.333333336</v>
      </c>
      <c r="T170" s="234">
        <f>IF(T$4&lt;$Z170,"",IF(SUM($D170:S170)&lt;$AA170,IF('Control Panel'!$C$81=0,0,$AA170/'Control Panel'!$C$81),0))</f>
        <v>53333333.333333336</v>
      </c>
      <c r="U170" s="234">
        <f>IF(U$4&lt;$Z170,"",IF(SUM($D170:T170)&lt;$AA170,IF('Control Panel'!$C$81=0,0,$AA170/'Control Panel'!$C$81),0))</f>
        <v>53333333.333333336</v>
      </c>
      <c r="V170" s="234">
        <f>IF(V$4&lt;$Z170,"",IF(SUM($D170:U170)&lt;$AA170,IF('Control Panel'!$C$81=0,0,$AA170/'Control Panel'!$C$81),0))</f>
        <v>53333333.333333336</v>
      </c>
      <c r="W170" s="234">
        <f>IF(W$4&lt;$Z170,"",IF(SUM($D170:V170)&lt;$AA170,IF('Control Panel'!$C$81=0,0,$AA170/'Control Panel'!$C$81),0))</f>
        <v>53333333.333333336</v>
      </c>
      <c r="X170" s="235">
        <f>IF(X$4&lt;$Z170,"",IF(SUM($D170:W170)&lt;$AA170,IF('Control Panel'!$C$81=0,0,$AA170/'Control Panel'!$C$81),0))</f>
        <v>0</v>
      </c>
      <c r="Y170" s="143"/>
      <c r="Z170" s="232">
        <f t="shared" si="35"/>
        <v>14</v>
      </c>
      <c r="AA170" s="143">
        <v>320000000</v>
      </c>
    </row>
    <row r="171" spans="3:27" outlineLevel="1">
      <c r="C171" s="37"/>
      <c r="D171" s="37"/>
      <c r="E171" s="233" t="str">
        <f>IF(E$4&lt;$Z171,"",IF(SUM($D171:D171)&lt;$AA171,IF('Control Panel'!$C$81=0,0,$AA171/'Control Panel'!$C$81),0))</f>
        <v/>
      </c>
      <c r="F171" s="234" t="str">
        <f>IF(F$4&lt;$Z171,"",IF(SUM($D171:E171)&lt;$AA171,IF('Control Panel'!$C$81=0,0,$AA171/'Control Panel'!$C$81),0))</f>
        <v/>
      </c>
      <c r="G171" s="234" t="str">
        <f>IF(G$4&lt;$Z171,"",IF(SUM($D171:F171)&lt;$AA171,IF('Control Panel'!$C$81=0,0,$AA171/'Control Panel'!$C$81),0))</f>
        <v/>
      </c>
      <c r="H171" s="234" t="str">
        <f>IF(H$4&lt;$Z171,"",IF(SUM($D171:G171)&lt;$AA171,IF('Control Panel'!$C$81=0,0,$AA171/'Control Panel'!$C$81),0))</f>
        <v/>
      </c>
      <c r="I171" s="234" t="str">
        <f>IF(I$4&lt;$Z171,"",IF(SUM($D171:H171)&lt;$AA171,IF('Control Panel'!$C$81=0,0,$AA171/'Control Panel'!$C$81),0))</f>
        <v/>
      </c>
      <c r="J171" s="234" t="str">
        <f>IF(J$4&lt;$Z171,"",IF(SUM($D171:I171)&lt;$AA171,IF('Control Panel'!$C$81=0,0,$AA171/'Control Panel'!$C$81),0))</f>
        <v/>
      </c>
      <c r="K171" s="234" t="str">
        <f>IF(K$4&lt;$Z171,"",IF(SUM($D171:J171)&lt;$AA171,IF('Control Panel'!$C$81=0,0,$AA171/'Control Panel'!$C$81),0))</f>
        <v/>
      </c>
      <c r="L171" s="234" t="str">
        <f>IF(L$4&lt;$Z171,"",IF(SUM($D171:K171)&lt;$AA171,IF('Control Panel'!$C$81=0,0,$AA171/'Control Panel'!$C$81),0))</f>
        <v/>
      </c>
      <c r="M171" s="234" t="str">
        <f>IF(M$4&lt;$Z171,"",IF(SUM($D171:L171)&lt;$AA171,IF('Control Panel'!$C$81=0,0,$AA171/'Control Panel'!$C$81),0))</f>
        <v/>
      </c>
      <c r="N171" s="234" t="str">
        <f>IF(N$4&lt;$Z171,"",IF(SUM($D171:M171)&lt;$AA171,IF('Control Panel'!$C$81=0,0,$AA171/'Control Panel'!$C$81),0))</f>
        <v/>
      </c>
      <c r="O171" s="234" t="str">
        <f>IF(O$4&lt;$Z171,"",IF(SUM($D171:N171)&lt;$AA171,IF('Control Panel'!$C$81=0,0,$AA171/'Control Panel'!$C$81),0))</f>
        <v/>
      </c>
      <c r="P171" s="234" t="str">
        <f>IF(P$4&lt;$Z171,"",IF(SUM($D171:O171)&lt;$AA171,IF('Control Panel'!$C$81=0,0,$AA171/'Control Panel'!$C$81),0))</f>
        <v/>
      </c>
      <c r="Q171" s="234" t="str">
        <f>IF(Q$4&lt;$Z171,"",IF(SUM($D171:P171)&lt;$AA171,IF('Control Panel'!$C$81=0,0,$AA171/'Control Panel'!$C$81),0))</f>
        <v/>
      </c>
      <c r="R171" s="234" t="str">
        <f>IF(R$4&lt;$Z171,"",IF(SUM($D171:Q171)&lt;$AA171,IF('Control Panel'!$C$81=0,0,$AA171/'Control Panel'!$C$81),0))</f>
        <v/>
      </c>
      <c r="S171" s="234">
        <f>IF(S$4&lt;$Z171,"",IF(SUM($D171:R171)&lt;$AA171,IF('Control Panel'!$C$81=0,0,$AA171/'Control Panel'!$C$81),0))</f>
        <v>53333333.333333336</v>
      </c>
      <c r="T171" s="234">
        <f>IF(T$4&lt;$Z171,"",IF(SUM($D171:S171)&lt;$AA171,IF('Control Panel'!$C$81=0,0,$AA171/'Control Panel'!$C$81),0))</f>
        <v>53333333.333333336</v>
      </c>
      <c r="U171" s="234">
        <f>IF(U$4&lt;$Z171,"",IF(SUM($D171:T171)&lt;$AA171,IF('Control Panel'!$C$81=0,0,$AA171/'Control Panel'!$C$81),0))</f>
        <v>53333333.333333336</v>
      </c>
      <c r="V171" s="234">
        <f>IF(V$4&lt;$Z171,"",IF(SUM($D171:U171)&lt;$AA171,IF('Control Panel'!$C$81=0,0,$AA171/'Control Panel'!$C$81),0))</f>
        <v>53333333.333333336</v>
      </c>
      <c r="W171" s="234">
        <f>IF(W$4&lt;$Z171,"",IF(SUM($D171:V171)&lt;$AA171,IF('Control Panel'!$C$81=0,0,$AA171/'Control Panel'!$C$81),0))</f>
        <v>53333333.333333336</v>
      </c>
      <c r="X171" s="235">
        <f>IF(X$4&lt;$Z171,"",IF(SUM($D171:W171)&lt;$AA171,IF('Control Panel'!$C$81=0,0,$AA171/'Control Panel'!$C$81),0))</f>
        <v>53333333.333333336</v>
      </c>
      <c r="Y171" s="143"/>
      <c r="Z171" s="232">
        <f t="shared" si="35"/>
        <v>15</v>
      </c>
      <c r="AA171" s="143">
        <v>320000000</v>
      </c>
    </row>
    <row r="172" spans="3:27" outlineLevel="1">
      <c r="C172" s="37"/>
      <c r="D172" s="37"/>
      <c r="E172" s="233" t="str">
        <f>IF(E$4&lt;$Z172,"",IF(SUM($D172:D172)&lt;$AA172,IF('Control Panel'!$C$81=0,0,$AA172/'Control Panel'!$C$81),0))</f>
        <v/>
      </c>
      <c r="F172" s="234" t="str">
        <f>IF(F$4&lt;$Z172,"",IF(SUM($D172:E172)&lt;$AA172,IF('Control Panel'!$C$81=0,0,$AA172/'Control Panel'!$C$81),0))</f>
        <v/>
      </c>
      <c r="G172" s="234" t="str">
        <f>IF(G$4&lt;$Z172,"",IF(SUM($D172:F172)&lt;$AA172,IF('Control Panel'!$C$81=0,0,$AA172/'Control Panel'!$C$81),0))</f>
        <v/>
      </c>
      <c r="H172" s="234" t="str">
        <f>IF(H$4&lt;$Z172,"",IF(SUM($D172:G172)&lt;$AA172,IF('Control Panel'!$C$81=0,0,$AA172/'Control Panel'!$C$81),0))</f>
        <v/>
      </c>
      <c r="I172" s="234" t="str">
        <f>IF(I$4&lt;$Z172,"",IF(SUM($D172:H172)&lt;$AA172,IF('Control Panel'!$C$81=0,0,$AA172/'Control Panel'!$C$81),0))</f>
        <v/>
      </c>
      <c r="J172" s="234" t="str">
        <f>IF(J$4&lt;$Z172,"",IF(SUM($D172:I172)&lt;$AA172,IF('Control Panel'!$C$81=0,0,$AA172/'Control Panel'!$C$81),0))</f>
        <v/>
      </c>
      <c r="K172" s="234" t="str">
        <f>IF(K$4&lt;$Z172,"",IF(SUM($D172:J172)&lt;$AA172,IF('Control Panel'!$C$81=0,0,$AA172/'Control Panel'!$C$81),0))</f>
        <v/>
      </c>
      <c r="L172" s="234" t="str">
        <f>IF(L$4&lt;$Z172,"",IF(SUM($D172:K172)&lt;$AA172,IF('Control Panel'!$C$81=0,0,$AA172/'Control Panel'!$C$81),0))</f>
        <v/>
      </c>
      <c r="M172" s="234" t="str">
        <f>IF(M$4&lt;$Z172,"",IF(SUM($D172:L172)&lt;$AA172,IF('Control Panel'!$C$81=0,0,$AA172/'Control Panel'!$C$81),0))</f>
        <v/>
      </c>
      <c r="N172" s="234" t="str">
        <f>IF(N$4&lt;$Z172,"",IF(SUM($D172:M172)&lt;$AA172,IF('Control Panel'!$C$81=0,0,$AA172/'Control Panel'!$C$81),0))</f>
        <v/>
      </c>
      <c r="O172" s="234" t="str">
        <f>IF(O$4&lt;$Z172,"",IF(SUM($D172:N172)&lt;$AA172,IF('Control Panel'!$C$81=0,0,$AA172/'Control Panel'!$C$81),0))</f>
        <v/>
      </c>
      <c r="P172" s="234" t="str">
        <f>IF(P$4&lt;$Z172,"",IF(SUM($D172:O172)&lt;$AA172,IF('Control Panel'!$C$81=0,0,$AA172/'Control Panel'!$C$81),0))</f>
        <v/>
      </c>
      <c r="Q172" s="234" t="str">
        <f>IF(Q$4&lt;$Z172,"",IF(SUM($D172:P172)&lt;$AA172,IF('Control Panel'!$C$81=0,0,$AA172/'Control Panel'!$C$81),0))</f>
        <v/>
      </c>
      <c r="R172" s="234" t="str">
        <f>IF(R$4&lt;$Z172,"",IF(SUM($D172:Q172)&lt;$AA172,IF('Control Panel'!$C$81=0,0,$AA172/'Control Panel'!$C$81),0))</f>
        <v/>
      </c>
      <c r="S172" s="234" t="str">
        <f>IF(S$4&lt;$Z172,"",IF(SUM($D172:R172)&lt;$AA172,IF('Control Panel'!$C$81=0,0,$AA172/'Control Panel'!$C$81),0))</f>
        <v/>
      </c>
      <c r="T172" s="234">
        <f>IF(T$4&lt;$Z172,"",IF(SUM($D172:S172)&lt;$AA172,IF('Control Panel'!$C$81=0,0,$AA172/'Control Panel'!$C$81),0))</f>
        <v>53333333.333333336</v>
      </c>
      <c r="U172" s="234">
        <f>IF(U$4&lt;$Z172,"",IF(SUM($D172:T172)&lt;$AA172,IF('Control Panel'!$C$81=0,0,$AA172/'Control Panel'!$C$81),0))</f>
        <v>53333333.333333336</v>
      </c>
      <c r="V172" s="234">
        <f>IF(V$4&lt;$Z172,"",IF(SUM($D172:U172)&lt;$AA172,IF('Control Panel'!$C$81=0,0,$AA172/'Control Panel'!$C$81),0))</f>
        <v>53333333.333333336</v>
      </c>
      <c r="W172" s="234">
        <f>IF(W$4&lt;$Z172,"",IF(SUM($D172:V172)&lt;$AA172,IF('Control Panel'!$C$81=0,0,$AA172/'Control Panel'!$C$81),0))</f>
        <v>53333333.333333336</v>
      </c>
      <c r="X172" s="235">
        <f>IF(X$4&lt;$Z172,"",IF(SUM($D172:W172)&lt;$AA172,IF('Control Panel'!$C$81=0,0,$AA172/'Control Panel'!$C$81),0))</f>
        <v>53333333.333333336</v>
      </c>
      <c r="Y172" s="143"/>
      <c r="Z172" s="232">
        <f t="shared" si="35"/>
        <v>16</v>
      </c>
      <c r="AA172" s="143">
        <v>320000000</v>
      </c>
    </row>
    <row r="173" spans="3:27" outlineLevel="1">
      <c r="C173" s="37"/>
      <c r="D173" s="37"/>
      <c r="E173" s="233" t="str">
        <f>IF(E$4&lt;$Z173,"",IF(SUM($D173:D173)&lt;$AA173,IF('Control Panel'!$C$81=0,0,$AA173/'Control Panel'!$C$81),0))</f>
        <v/>
      </c>
      <c r="F173" s="234" t="str">
        <f>IF(F$4&lt;$Z173,"",IF(SUM($D173:E173)&lt;$AA173,IF('Control Panel'!$C$81=0,0,$AA173/'Control Panel'!$C$81),0))</f>
        <v/>
      </c>
      <c r="G173" s="234" t="str">
        <f>IF(G$4&lt;$Z173,"",IF(SUM($D173:F173)&lt;$AA173,IF('Control Panel'!$C$81=0,0,$AA173/'Control Panel'!$C$81),0))</f>
        <v/>
      </c>
      <c r="H173" s="234" t="str">
        <f>IF(H$4&lt;$Z173,"",IF(SUM($D173:G173)&lt;$AA173,IF('Control Panel'!$C$81=0,0,$AA173/'Control Panel'!$C$81),0))</f>
        <v/>
      </c>
      <c r="I173" s="234" t="str">
        <f>IF(I$4&lt;$Z173,"",IF(SUM($D173:H173)&lt;$AA173,IF('Control Panel'!$C$81=0,0,$AA173/'Control Panel'!$C$81),0))</f>
        <v/>
      </c>
      <c r="J173" s="234" t="str">
        <f>IF(J$4&lt;$Z173,"",IF(SUM($D173:I173)&lt;$AA173,IF('Control Panel'!$C$81=0,0,$AA173/'Control Panel'!$C$81),0))</f>
        <v/>
      </c>
      <c r="K173" s="234" t="str">
        <f>IF(K$4&lt;$Z173,"",IF(SUM($D173:J173)&lt;$AA173,IF('Control Panel'!$C$81=0,0,$AA173/'Control Panel'!$C$81),0))</f>
        <v/>
      </c>
      <c r="L173" s="234" t="str">
        <f>IF(L$4&lt;$Z173,"",IF(SUM($D173:K173)&lt;$AA173,IF('Control Panel'!$C$81=0,0,$AA173/'Control Panel'!$C$81),0))</f>
        <v/>
      </c>
      <c r="M173" s="234" t="str">
        <f>IF(M$4&lt;$Z173,"",IF(SUM($D173:L173)&lt;$AA173,IF('Control Panel'!$C$81=0,0,$AA173/'Control Panel'!$C$81),0))</f>
        <v/>
      </c>
      <c r="N173" s="234" t="str">
        <f>IF(N$4&lt;$Z173,"",IF(SUM($D173:M173)&lt;$AA173,IF('Control Panel'!$C$81=0,0,$AA173/'Control Panel'!$C$81),0))</f>
        <v/>
      </c>
      <c r="O173" s="234" t="str">
        <f>IF(O$4&lt;$Z173,"",IF(SUM($D173:N173)&lt;$AA173,IF('Control Panel'!$C$81=0,0,$AA173/'Control Panel'!$C$81),0))</f>
        <v/>
      </c>
      <c r="P173" s="234" t="str">
        <f>IF(P$4&lt;$Z173,"",IF(SUM($D173:O173)&lt;$AA173,IF('Control Panel'!$C$81=0,0,$AA173/'Control Panel'!$C$81),0))</f>
        <v/>
      </c>
      <c r="Q173" s="234" t="str">
        <f>IF(Q$4&lt;$Z173,"",IF(SUM($D173:P173)&lt;$AA173,IF('Control Panel'!$C$81=0,0,$AA173/'Control Panel'!$C$81),0))</f>
        <v/>
      </c>
      <c r="R173" s="234" t="str">
        <f>IF(R$4&lt;$Z173,"",IF(SUM($D173:Q173)&lt;$AA173,IF('Control Panel'!$C$81=0,0,$AA173/'Control Panel'!$C$81),0))</f>
        <v/>
      </c>
      <c r="S173" s="234" t="str">
        <f>IF(S$4&lt;$Z173,"",IF(SUM($D173:R173)&lt;$AA173,IF('Control Panel'!$C$81=0,0,$AA173/'Control Panel'!$C$81),0))</f>
        <v/>
      </c>
      <c r="T173" s="234" t="str">
        <f>IF(T$4&lt;$Z173,"",IF(SUM($D173:S173)&lt;$AA173,IF('Control Panel'!$C$81=0,0,$AA173/'Control Panel'!$C$81),0))</f>
        <v/>
      </c>
      <c r="U173" s="234">
        <f>IF(U$4&lt;$Z173,"",IF(SUM($D173:T173)&lt;$AA173,IF('Control Panel'!$C$81=0,0,$AA173/'Control Panel'!$C$81),0))</f>
        <v>53333333.333333336</v>
      </c>
      <c r="V173" s="234">
        <f>IF(V$4&lt;$Z173,"",IF(SUM($D173:U173)&lt;$AA173,IF('Control Panel'!$C$81=0,0,$AA173/'Control Panel'!$C$81),0))</f>
        <v>53333333.333333336</v>
      </c>
      <c r="W173" s="234">
        <f>IF(W$4&lt;$Z173,"",IF(SUM($D173:V173)&lt;$AA173,IF('Control Panel'!$C$81=0,0,$AA173/'Control Panel'!$C$81),0))</f>
        <v>53333333.333333336</v>
      </c>
      <c r="X173" s="235">
        <f>IF(X$4&lt;$Z173,"",IF(SUM($D173:W173)&lt;$AA173,IF('Control Panel'!$C$81=0,0,$AA173/'Control Panel'!$C$81),0))</f>
        <v>53333333.333333336</v>
      </c>
      <c r="Y173" s="143"/>
      <c r="Z173" s="232">
        <f t="shared" si="35"/>
        <v>17</v>
      </c>
      <c r="AA173" s="143">
        <v>320000000</v>
      </c>
    </row>
    <row r="174" spans="3:27" outlineLevel="1">
      <c r="C174" s="37"/>
      <c r="D174" s="37"/>
      <c r="E174" s="233" t="str">
        <f>IF(E$4&lt;$Z174,"",IF(SUM($D174:D174)&lt;$AA174,IF('Control Panel'!$C$81=0,0,$AA174/'Control Panel'!$C$81),0))</f>
        <v/>
      </c>
      <c r="F174" s="234" t="str">
        <f>IF(F$4&lt;$Z174,"",IF(SUM($D174:E174)&lt;$AA174,IF('Control Panel'!$C$81=0,0,$AA174/'Control Panel'!$C$81),0))</f>
        <v/>
      </c>
      <c r="G174" s="234" t="str">
        <f>IF(G$4&lt;$Z174,"",IF(SUM($D174:F174)&lt;$AA174,IF('Control Panel'!$C$81=0,0,$AA174/'Control Panel'!$C$81),0))</f>
        <v/>
      </c>
      <c r="H174" s="234" t="str">
        <f>IF(H$4&lt;$Z174,"",IF(SUM($D174:G174)&lt;$AA174,IF('Control Panel'!$C$81=0,0,$AA174/'Control Panel'!$C$81),0))</f>
        <v/>
      </c>
      <c r="I174" s="234" t="str">
        <f>IF(I$4&lt;$Z174,"",IF(SUM($D174:H174)&lt;$AA174,IF('Control Panel'!$C$81=0,0,$AA174/'Control Panel'!$C$81),0))</f>
        <v/>
      </c>
      <c r="J174" s="234" t="str">
        <f>IF(J$4&lt;$Z174,"",IF(SUM($D174:I174)&lt;$AA174,IF('Control Panel'!$C$81=0,0,$AA174/'Control Panel'!$C$81),0))</f>
        <v/>
      </c>
      <c r="K174" s="234" t="str">
        <f>IF(K$4&lt;$Z174,"",IF(SUM($D174:J174)&lt;$AA174,IF('Control Panel'!$C$81=0,0,$AA174/'Control Panel'!$C$81),0))</f>
        <v/>
      </c>
      <c r="L174" s="234" t="str">
        <f>IF(L$4&lt;$Z174,"",IF(SUM($D174:K174)&lt;$AA174,IF('Control Panel'!$C$81=0,0,$AA174/'Control Panel'!$C$81),0))</f>
        <v/>
      </c>
      <c r="M174" s="234" t="str">
        <f>IF(M$4&lt;$Z174,"",IF(SUM($D174:L174)&lt;$AA174,IF('Control Panel'!$C$81=0,0,$AA174/'Control Panel'!$C$81),0))</f>
        <v/>
      </c>
      <c r="N174" s="234" t="str">
        <f>IF(N$4&lt;$Z174,"",IF(SUM($D174:M174)&lt;$AA174,IF('Control Panel'!$C$81=0,0,$AA174/'Control Panel'!$C$81),0))</f>
        <v/>
      </c>
      <c r="O174" s="234" t="str">
        <f>IF(O$4&lt;$Z174,"",IF(SUM($D174:N174)&lt;$AA174,IF('Control Panel'!$C$81=0,0,$AA174/'Control Panel'!$C$81),0))</f>
        <v/>
      </c>
      <c r="P174" s="234" t="str">
        <f>IF(P$4&lt;$Z174,"",IF(SUM($D174:O174)&lt;$AA174,IF('Control Panel'!$C$81=0,0,$AA174/'Control Panel'!$C$81),0))</f>
        <v/>
      </c>
      <c r="Q174" s="234" t="str">
        <f>IF(Q$4&lt;$Z174,"",IF(SUM($D174:P174)&lt;$AA174,IF('Control Panel'!$C$81=0,0,$AA174/'Control Panel'!$C$81),0))</f>
        <v/>
      </c>
      <c r="R174" s="234" t="str">
        <f>IF(R$4&lt;$Z174,"",IF(SUM($D174:Q174)&lt;$AA174,IF('Control Panel'!$C$81=0,0,$AA174/'Control Panel'!$C$81),0))</f>
        <v/>
      </c>
      <c r="S174" s="234" t="str">
        <f>IF(S$4&lt;$Z174,"",IF(SUM($D174:R174)&lt;$AA174,IF('Control Panel'!$C$81=0,0,$AA174/'Control Panel'!$C$81),0))</f>
        <v/>
      </c>
      <c r="T174" s="234" t="str">
        <f>IF(T$4&lt;$Z174,"",IF(SUM($D174:S174)&lt;$AA174,IF('Control Panel'!$C$81=0,0,$AA174/'Control Panel'!$C$81),0))</f>
        <v/>
      </c>
      <c r="U174" s="234" t="str">
        <f>IF(U$4&lt;$Z174,"",IF(SUM($D174:T174)&lt;$AA174,IF('Control Panel'!$C$81=0,0,$AA174/'Control Panel'!$C$81),0))</f>
        <v/>
      </c>
      <c r="V174" s="234">
        <f>IF(V$4&lt;$Z174,"",IF(SUM($D174:U174)&lt;$AA174,IF('Control Panel'!$C$81=0,0,$AA174/'Control Panel'!$C$81),0))</f>
        <v>53333333.333333336</v>
      </c>
      <c r="W174" s="234">
        <f>IF(W$4&lt;$Z174,"",IF(SUM($D174:V174)&lt;$AA174,IF('Control Panel'!$C$81=0,0,$AA174/'Control Panel'!$C$81),0))</f>
        <v>53333333.333333336</v>
      </c>
      <c r="X174" s="235">
        <f>IF(X$4&lt;$Z174,"",IF(SUM($D174:W174)&lt;$AA174,IF('Control Panel'!$C$81=0,0,$AA174/'Control Panel'!$C$81),0))</f>
        <v>53333333.333333336</v>
      </c>
      <c r="Y174" s="143"/>
      <c r="Z174" s="232">
        <f t="shared" si="35"/>
        <v>18</v>
      </c>
      <c r="AA174" s="143">
        <v>320000000</v>
      </c>
    </row>
    <row r="175" spans="3:27" outlineLevel="1">
      <c r="C175" s="37"/>
      <c r="D175" s="37"/>
      <c r="E175" s="233" t="str">
        <f>IF(E$4&lt;$Z175,"",IF(SUM($D175:D175)&lt;$AA175,IF('Control Panel'!$C$81=0,0,$AA175/'Control Panel'!$C$81),0))</f>
        <v/>
      </c>
      <c r="F175" s="234" t="str">
        <f>IF(F$4&lt;$Z175,"",IF(SUM($D175:E175)&lt;$AA175,IF('Control Panel'!$C$81=0,0,$AA175/'Control Panel'!$C$81),0))</f>
        <v/>
      </c>
      <c r="G175" s="234" t="str">
        <f>IF(G$4&lt;$Z175,"",IF(SUM($D175:F175)&lt;$AA175,IF('Control Panel'!$C$81=0,0,$AA175/'Control Panel'!$C$81),0))</f>
        <v/>
      </c>
      <c r="H175" s="234" t="str">
        <f>IF(H$4&lt;$Z175,"",IF(SUM($D175:G175)&lt;$AA175,IF('Control Panel'!$C$81=0,0,$AA175/'Control Panel'!$C$81),0))</f>
        <v/>
      </c>
      <c r="I175" s="234" t="str">
        <f>IF(I$4&lt;$Z175,"",IF(SUM($D175:H175)&lt;$AA175,IF('Control Panel'!$C$81=0,0,$AA175/'Control Panel'!$C$81),0))</f>
        <v/>
      </c>
      <c r="J175" s="234" t="str">
        <f>IF(J$4&lt;$Z175,"",IF(SUM($D175:I175)&lt;$AA175,IF('Control Panel'!$C$81=0,0,$AA175/'Control Panel'!$C$81),0))</f>
        <v/>
      </c>
      <c r="K175" s="234" t="str">
        <f>IF(K$4&lt;$Z175,"",IF(SUM($D175:J175)&lt;$AA175,IF('Control Panel'!$C$81=0,0,$AA175/'Control Panel'!$C$81),0))</f>
        <v/>
      </c>
      <c r="L175" s="234" t="str">
        <f>IF(L$4&lt;$Z175,"",IF(SUM($D175:K175)&lt;$AA175,IF('Control Panel'!$C$81=0,0,$AA175/'Control Panel'!$C$81),0))</f>
        <v/>
      </c>
      <c r="M175" s="234" t="str">
        <f>IF(M$4&lt;$Z175,"",IF(SUM($D175:L175)&lt;$AA175,IF('Control Panel'!$C$81=0,0,$AA175/'Control Panel'!$C$81),0))</f>
        <v/>
      </c>
      <c r="N175" s="234" t="str">
        <f>IF(N$4&lt;$Z175,"",IF(SUM($D175:M175)&lt;$AA175,IF('Control Panel'!$C$81=0,0,$AA175/'Control Panel'!$C$81),0))</f>
        <v/>
      </c>
      <c r="O175" s="234" t="str">
        <f>IF(O$4&lt;$Z175,"",IF(SUM($D175:N175)&lt;$AA175,IF('Control Panel'!$C$81=0,0,$AA175/'Control Panel'!$C$81),0))</f>
        <v/>
      </c>
      <c r="P175" s="234" t="str">
        <f>IF(P$4&lt;$Z175,"",IF(SUM($D175:O175)&lt;$AA175,IF('Control Panel'!$C$81=0,0,$AA175/'Control Panel'!$C$81),0))</f>
        <v/>
      </c>
      <c r="Q175" s="234" t="str">
        <f>IF(Q$4&lt;$Z175,"",IF(SUM($D175:P175)&lt;$AA175,IF('Control Panel'!$C$81=0,0,$AA175/'Control Panel'!$C$81),0))</f>
        <v/>
      </c>
      <c r="R175" s="234" t="str">
        <f>IF(R$4&lt;$Z175,"",IF(SUM($D175:Q175)&lt;$AA175,IF('Control Panel'!$C$81=0,0,$AA175/'Control Panel'!$C$81),0))</f>
        <v/>
      </c>
      <c r="S175" s="234" t="str">
        <f>IF(S$4&lt;$Z175,"",IF(SUM($D175:R175)&lt;$AA175,IF('Control Panel'!$C$81=0,0,$AA175/'Control Panel'!$C$81),0))</f>
        <v/>
      </c>
      <c r="T175" s="234" t="str">
        <f>IF(T$4&lt;$Z175,"",IF(SUM($D175:S175)&lt;$AA175,IF('Control Panel'!$C$81=0,0,$AA175/'Control Panel'!$C$81),0))</f>
        <v/>
      </c>
      <c r="U175" s="234" t="str">
        <f>IF(U$4&lt;$Z175,"",IF(SUM($D175:T175)&lt;$AA175,IF('Control Panel'!$C$81=0,0,$AA175/'Control Panel'!$C$81),0))</f>
        <v/>
      </c>
      <c r="V175" s="234" t="str">
        <f>IF(V$4&lt;$Z175,"",IF(SUM($D175:U175)&lt;$AA175,IF('Control Panel'!$C$81=0,0,$AA175/'Control Panel'!$C$81),0))</f>
        <v/>
      </c>
      <c r="W175" s="234">
        <f>IF(W$4&lt;$Z175,"",IF(SUM($D175:V175)&lt;$AA175,IF('Control Panel'!$C$81=0,0,$AA175/'Control Panel'!$C$81),0))</f>
        <v>53333333.333333336</v>
      </c>
      <c r="X175" s="235">
        <f>IF(X$4&lt;$Z175,"",IF(SUM($D175:W175)&lt;$AA175,IF('Control Panel'!$C$81=0,0,$AA175/'Control Panel'!$C$81),0))</f>
        <v>53333333.333333336</v>
      </c>
      <c r="Y175" s="143"/>
      <c r="Z175" s="232">
        <f t="shared" si="35"/>
        <v>19</v>
      </c>
      <c r="AA175" s="143">
        <v>320000000</v>
      </c>
    </row>
    <row r="176" spans="3:27" outlineLevel="1">
      <c r="C176" s="37"/>
      <c r="D176" s="37"/>
      <c r="E176" s="237" t="str">
        <f>IF(E$4&lt;$Z176,"",IF(SUM($D176:D176)&lt;$AA176,IF('Control Panel'!$C$81=0,0,$AA176/'Control Panel'!$C$81),0))</f>
        <v/>
      </c>
      <c r="F176" s="158" t="str">
        <f>IF(F$4&lt;$Z176,"",IF(SUM($D176:E176)&lt;$AA176,IF('Control Panel'!$C$81=0,0,$AA176/'Control Panel'!$C$81),0))</f>
        <v/>
      </c>
      <c r="G176" s="158" t="str">
        <f>IF(G$4&lt;$Z176,"",IF(SUM($D176:F176)&lt;$AA176,IF('Control Panel'!$C$81=0,0,$AA176/'Control Panel'!$C$81),0))</f>
        <v/>
      </c>
      <c r="H176" s="158" t="str">
        <f>IF(H$4&lt;$Z176,"",IF(SUM($D176:G176)&lt;$AA176,IF('Control Panel'!$C$81=0,0,$AA176/'Control Panel'!$C$81),0))</f>
        <v/>
      </c>
      <c r="I176" s="158" t="str">
        <f>IF(I$4&lt;$Z176,"",IF(SUM($D176:H176)&lt;$AA176,IF('Control Panel'!$C$81=0,0,$AA176/'Control Panel'!$C$81),0))</f>
        <v/>
      </c>
      <c r="J176" s="158" t="str">
        <f>IF(J$4&lt;$Z176,"",IF(SUM($D176:I176)&lt;$AA176,IF('Control Panel'!$C$81=0,0,$AA176/'Control Panel'!$C$81),0))</f>
        <v/>
      </c>
      <c r="K176" s="158" t="str">
        <f>IF(K$4&lt;$Z176,"",IF(SUM($D176:J176)&lt;$AA176,IF('Control Panel'!$C$81=0,0,$AA176/'Control Panel'!$C$81),0))</f>
        <v/>
      </c>
      <c r="L176" s="158" t="str">
        <f>IF(L$4&lt;$Z176,"",IF(SUM($D176:K176)&lt;$AA176,IF('Control Panel'!$C$81=0,0,$AA176/'Control Panel'!$C$81),0))</f>
        <v/>
      </c>
      <c r="M176" s="158" t="str">
        <f>IF(M$4&lt;$Z176,"",IF(SUM($D176:L176)&lt;$AA176,IF('Control Panel'!$C$81=0,0,$AA176/'Control Panel'!$C$81),0))</f>
        <v/>
      </c>
      <c r="N176" s="158" t="str">
        <f>IF(N$4&lt;$Z176,"",IF(SUM($D176:M176)&lt;$AA176,IF('Control Panel'!$C$81=0,0,$AA176/'Control Panel'!$C$81),0))</f>
        <v/>
      </c>
      <c r="O176" s="158" t="str">
        <f>IF(O$4&lt;$Z176,"",IF(SUM($D176:N176)&lt;$AA176,IF('Control Panel'!$C$81=0,0,$AA176/'Control Panel'!$C$81),0))</f>
        <v/>
      </c>
      <c r="P176" s="158" t="str">
        <f>IF(P$4&lt;$Z176,"",IF(SUM($D176:O176)&lt;$AA176,IF('Control Panel'!$C$81=0,0,$AA176/'Control Panel'!$C$81),0))</f>
        <v/>
      </c>
      <c r="Q176" s="158" t="str">
        <f>IF(Q$4&lt;$Z176,"",IF(SUM($D176:P176)&lt;$AA176,IF('Control Panel'!$C$81=0,0,$AA176/'Control Panel'!$C$81),0))</f>
        <v/>
      </c>
      <c r="R176" s="158" t="str">
        <f>IF(R$4&lt;$Z176,"",IF(SUM($D176:Q176)&lt;$AA176,IF('Control Panel'!$C$81=0,0,$AA176/'Control Panel'!$C$81),0))</f>
        <v/>
      </c>
      <c r="S176" s="158" t="str">
        <f>IF(S$4&lt;$Z176,"",IF(SUM($D176:R176)&lt;$AA176,IF('Control Panel'!$C$81=0,0,$AA176/'Control Panel'!$C$81),0))</f>
        <v/>
      </c>
      <c r="T176" s="158" t="str">
        <f>IF(T$4&lt;$Z176,"",IF(SUM($D176:S176)&lt;$AA176,IF('Control Panel'!$C$81=0,0,$AA176/'Control Panel'!$C$81),0))</f>
        <v/>
      </c>
      <c r="U176" s="158" t="str">
        <f>IF(U$4&lt;$Z176,"",IF(SUM($D176:T176)&lt;$AA176,IF('Control Panel'!$C$81=0,0,$AA176/'Control Panel'!$C$81),0))</f>
        <v/>
      </c>
      <c r="V176" s="158" t="str">
        <f>IF(V$4&lt;$Z176,"",IF(SUM($D176:U176)&lt;$AA176,IF('Control Panel'!$C$81=0,0,$AA176/'Control Panel'!$C$81),0))</f>
        <v/>
      </c>
      <c r="W176" s="158" t="str">
        <f>IF(W$4&lt;$Z176,"",IF(SUM($D176:V176)&lt;$AA176,IF('Control Panel'!$C$81=0,0,$AA176/'Control Panel'!$C$81),0))</f>
        <v/>
      </c>
      <c r="X176" s="238">
        <f>IF(X$4&lt;$Z176,"",IF(SUM($D176:W176)&lt;$AA176,IF('Control Panel'!$C$81=0,0,$AA176/'Control Panel'!$C$81),0))</f>
        <v>53333333.333333336</v>
      </c>
      <c r="Y176" s="143"/>
      <c r="Z176" s="232">
        <f t="shared" si="35"/>
        <v>20</v>
      </c>
      <c r="AA176" s="143">
        <v>320000000</v>
      </c>
    </row>
    <row r="177" spans="3:27" outlineLevel="1">
      <c r="C177" s="37"/>
      <c r="D177" s="37"/>
      <c r="E177" s="236">
        <f>SUM(E157:E176)</f>
        <v>0</v>
      </c>
      <c r="F177" s="236">
        <f>SUM(F157:F176)</f>
        <v>0</v>
      </c>
      <c r="G177" s="236">
        <f t="shared" ref="G177:X177" si="36">SUM(G157:G176)</f>
        <v>0</v>
      </c>
      <c r="H177" s="236">
        <f t="shared" si="36"/>
        <v>53333333.333333336</v>
      </c>
      <c r="I177" s="236">
        <f t="shared" si="36"/>
        <v>106666666.66666667</v>
      </c>
      <c r="J177" s="236">
        <f t="shared" si="36"/>
        <v>160000000</v>
      </c>
      <c r="K177" s="236">
        <f t="shared" si="36"/>
        <v>213333333.33333334</v>
      </c>
      <c r="L177" s="236">
        <f t="shared" si="36"/>
        <v>266666666.66666669</v>
      </c>
      <c r="M177" s="236">
        <f t="shared" si="36"/>
        <v>320000000</v>
      </c>
      <c r="N177" s="236">
        <f t="shared" si="36"/>
        <v>320000000</v>
      </c>
      <c r="O177" s="236">
        <f t="shared" si="36"/>
        <v>320000000</v>
      </c>
      <c r="P177" s="236">
        <f t="shared" si="36"/>
        <v>320000000</v>
      </c>
      <c r="Q177" s="236">
        <f t="shared" si="36"/>
        <v>320000000</v>
      </c>
      <c r="R177" s="236">
        <f t="shared" si="36"/>
        <v>320000000</v>
      </c>
      <c r="S177" s="236">
        <f t="shared" si="36"/>
        <v>320000000</v>
      </c>
      <c r="T177" s="236">
        <f t="shared" si="36"/>
        <v>320000000</v>
      </c>
      <c r="U177" s="236">
        <f t="shared" si="36"/>
        <v>320000000</v>
      </c>
      <c r="V177" s="236">
        <f t="shared" si="36"/>
        <v>320000000</v>
      </c>
      <c r="W177" s="236">
        <f t="shared" si="36"/>
        <v>320000000</v>
      </c>
      <c r="X177" s="236">
        <f t="shared" si="36"/>
        <v>320000000</v>
      </c>
      <c r="Y177" s="143"/>
      <c r="Z177" s="143"/>
      <c r="AA177" s="143"/>
    </row>
    <row r="178" spans="3:27">
      <c r="C178" s="37"/>
      <c r="D178" s="37"/>
    </row>
    <row r="179" spans="3:27">
      <c r="C179" s="37"/>
      <c r="D179" s="37"/>
    </row>
    <row r="180" spans="3:27">
      <c r="C180" s="37"/>
      <c r="D180" s="37"/>
    </row>
    <row r="181" spans="3:27">
      <c r="C181" s="37"/>
      <c r="D181" s="37"/>
    </row>
    <row r="182" spans="3:27">
      <c r="C182" s="37"/>
      <c r="D182" s="37"/>
    </row>
    <row r="183" spans="3:27">
      <c r="C183" s="37"/>
      <c r="D183" s="37"/>
    </row>
    <row r="184" spans="3:27">
      <c r="C184" s="37"/>
      <c r="D184" s="37"/>
    </row>
    <row r="185" spans="3:27">
      <c r="C185" s="37"/>
      <c r="D185" s="37"/>
    </row>
    <row r="186" spans="3:27">
      <c r="C186" s="37"/>
      <c r="D186" s="37"/>
    </row>
    <row r="187" spans="3:27">
      <c r="C187" s="37"/>
      <c r="D187" s="37"/>
    </row>
    <row r="188" spans="3:27">
      <c r="C188" s="37"/>
      <c r="D188" s="37"/>
    </row>
    <row r="189" spans="3:27">
      <c r="C189" s="37"/>
      <c r="D189" s="37"/>
    </row>
    <row r="190" spans="3:27">
      <c r="C190" s="37"/>
      <c r="D190" s="37"/>
    </row>
    <row r="191" spans="3:27">
      <c r="C191" s="37"/>
      <c r="D191" s="37"/>
    </row>
    <row r="192" spans="3:27">
      <c r="C192" s="37"/>
      <c r="D192" s="37"/>
    </row>
    <row r="193" spans="3:4">
      <c r="C193" s="37"/>
      <c r="D193" s="37"/>
    </row>
    <row r="194" spans="3:4">
      <c r="C194" s="37"/>
      <c r="D194" s="37"/>
    </row>
    <row r="195" spans="3:4">
      <c r="C195" s="37"/>
      <c r="D195" s="37"/>
    </row>
    <row r="196" spans="3:4">
      <c r="C196" s="37"/>
      <c r="D196" s="37"/>
    </row>
    <row r="197" spans="3:4">
      <c r="C197" s="37"/>
      <c r="D197" s="37"/>
    </row>
    <row r="198" spans="3:4">
      <c r="C198" s="37"/>
      <c r="D198" s="37"/>
    </row>
    <row r="199" spans="3:4">
      <c r="C199" s="37"/>
      <c r="D199" s="37"/>
    </row>
    <row r="200" spans="3:4">
      <c r="C200" s="37"/>
      <c r="D200" s="37"/>
    </row>
    <row r="201" spans="3:4">
      <c r="C201" s="37"/>
      <c r="D201" s="37"/>
    </row>
    <row r="202" spans="3:4">
      <c r="C202" s="37"/>
      <c r="D202" s="37"/>
    </row>
    <row r="203" spans="3:4">
      <c r="C203" s="37"/>
      <c r="D203" s="37"/>
    </row>
    <row r="204" spans="3:4">
      <c r="C204" s="37"/>
      <c r="D204" s="37"/>
    </row>
    <row r="205" spans="3:4">
      <c r="C205" s="37"/>
      <c r="D205" s="37"/>
    </row>
    <row r="206" spans="3:4">
      <c r="C206" s="37"/>
      <c r="D206" s="37"/>
    </row>
  </sheetData>
  <conditionalFormatting sqref="E23:X42">
    <cfRule type="containsBlanks" dxfId="5" priority="6">
      <formula>LEN(TRIM(E23))=0</formula>
    </cfRule>
  </conditionalFormatting>
  <conditionalFormatting sqref="E50:X69">
    <cfRule type="containsBlanks" dxfId="4" priority="5">
      <formula>LEN(TRIM(E50))=0</formula>
    </cfRule>
  </conditionalFormatting>
  <conditionalFormatting sqref="E77:X96">
    <cfRule type="containsBlanks" dxfId="3" priority="4">
      <formula>LEN(TRIM(E77))=0</formula>
    </cfRule>
  </conditionalFormatting>
  <conditionalFormatting sqref="E131:X150">
    <cfRule type="containsBlanks" dxfId="2" priority="3">
      <formula>LEN(TRIM(E131))=0</formula>
    </cfRule>
  </conditionalFormatting>
  <conditionalFormatting sqref="E157:X176">
    <cfRule type="containsBlanks" dxfId="1" priority="2">
      <formula>LEN(TRIM(E157))=0</formula>
    </cfRule>
  </conditionalFormatting>
  <conditionalFormatting sqref="E104:X123">
    <cfRule type="containsBlanks" dxfId="0" priority="1">
      <formula>LEN(TRIM(E104))=0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BC6D-B620-4FAE-97FE-D9D0FCB1AD19}">
  <sheetPr codeName="Sheet13">
    <tabColor theme="4"/>
  </sheetPr>
  <dimension ref="A1:A2"/>
  <sheetViews>
    <sheetView showGridLines="0" zoomScale="80" zoomScaleNormal="80" workbookViewId="0"/>
  </sheetViews>
  <sheetFormatPr defaultColWidth="8.85546875" defaultRowHeight="15.6"/>
  <cols>
    <col min="1" max="1" width="8.85546875" style="53"/>
    <col min="2" max="2" width="20.140625" style="53" bestFit="1" customWidth="1"/>
    <col min="3" max="3" width="24.7109375" style="53" bestFit="1" customWidth="1"/>
    <col min="4" max="4" width="141" style="53" bestFit="1" customWidth="1"/>
    <col min="5" max="16384" width="8.85546875" style="53"/>
  </cols>
  <sheetData>
    <row r="1" spans="1:1" s="126" customFormat="1" ht="21">
      <c r="A1" s="188" t="s">
        <v>160</v>
      </c>
    </row>
    <row r="2" spans="1:1" s="190" customFormat="1">
      <c r="A2" s="189" t="s">
        <v>161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C897-52E4-457F-AB02-497DD92F9BEE}">
  <sheetPr codeName="Sheet5">
    <tabColor theme="4"/>
    <pageSetUpPr fitToPage="1"/>
  </sheetPr>
  <dimension ref="A1:AJ86"/>
  <sheetViews>
    <sheetView showGridLines="0" zoomScale="70" zoomScaleNormal="70" workbookViewId="0">
      <pane xSplit="4" ySplit="5" topLeftCell="H39" activePane="bottomRight" state="frozen"/>
      <selection pane="bottomRight" activeCell="H39" sqref="H39"/>
      <selection pane="bottomLeft" activeCell="A6" sqref="A6"/>
      <selection pane="topRight" activeCell="E1" sqref="E1"/>
    </sheetView>
  </sheetViews>
  <sheetFormatPr defaultColWidth="8.7109375" defaultRowHeight="15.6"/>
  <cols>
    <col min="1" max="1" width="3.7109375" style="2" customWidth="1"/>
    <col min="2" max="2" width="72.28515625" style="2" bestFit="1" customWidth="1"/>
    <col min="3" max="3" width="9.140625" style="2" customWidth="1"/>
    <col min="4" max="4" width="4.7109375" style="2" customWidth="1"/>
    <col min="5" max="5" width="19.85546875" style="2" bestFit="1" customWidth="1"/>
    <col min="6" max="6" width="22.28515625" style="2" bestFit="1" customWidth="1"/>
    <col min="7" max="7" width="22.7109375" style="2" bestFit="1" customWidth="1"/>
    <col min="8" max="9" width="16.5703125" style="2" bestFit="1" customWidth="1"/>
    <col min="10" max="24" width="18.7109375" style="2" customWidth="1"/>
    <col min="25" max="16384" width="8.7109375" style="2"/>
  </cols>
  <sheetData>
    <row r="1" spans="1:36" s="126" customFormat="1" ht="21">
      <c r="A1" s="188" t="s">
        <v>13</v>
      </c>
    </row>
    <row r="2" spans="1:36" s="190" customFormat="1">
      <c r="A2" s="189" t="s">
        <v>162</v>
      </c>
    </row>
    <row r="4" spans="1:36" s="127" customFormat="1" ht="18" customHeight="1">
      <c r="B4" s="128" t="s">
        <v>41</v>
      </c>
      <c r="C4" s="129"/>
      <c r="D4" s="106"/>
      <c r="E4" s="106">
        <f>'Assumptions Processing'!E2</f>
        <v>1</v>
      </c>
      <c r="F4" s="106">
        <f t="shared" ref="F4:P4" si="0">E4+1</f>
        <v>2</v>
      </c>
      <c r="G4" s="106">
        <f t="shared" si="0"/>
        <v>3</v>
      </c>
      <c r="H4" s="106">
        <f t="shared" si="0"/>
        <v>4</v>
      </c>
      <c r="I4" s="106">
        <f t="shared" si="0"/>
        <v>5</v>
      </c>
      <c r="J4" s="106">
        <f t="shared" si="0"/>
        <v>6</v>
      </c>
      <c r="K4" s="106">
        <f t="shared" si="0"/>
        <v>7</v>
      </c>
      <c r="L4" s="106">
        <f t="shared" si="0"/>
        <v>8</v>
      </c>
      <c r="M4" s="106">
        <f t="shared" si="0"/>
        <v>9</v>
      </c>
      <c r="N4" s="106">
        <f t="shared" si="0"/>
        <v>10</v>
      </c>
      <c r="O4" s="106">
        <f t="shared" si="0"/>
        <v>11</v>
      </c>
      <c r="P4" s="106">
        <f t="shared" si="0"/>
        <v>12</v>
      </c>
      <c r="Q4" s="106">
        <f t="shared" ref="Q4:X4" si="1">P4+1</f>
        <v>13</v>
      </c>
      <c r="R4" s="106">
        <f t="shared" si="1"/>
        <v>14</v>
      </c>
      <c r="S4" s="106">
        <f t="shared" si="1"/>
        <v>15</v>
      </c>
      <c r="T4" s="106">
        <f t="shared" si="1"/>
        <v>16</v>
      </c>
      <c r="U4" s="106">
        <f t="shared" si="1"/>
        <v>17</v>
      </c>
      <c r="V4" s="106">
        <f t="shared" si="1"/>
        <v>18</v>
      </c>
      <c r="W4" s="106">
        <f t="shared" si="1"/>
        <v>19</v>
      </c>
      <c r="X4" s="106">
        <f t="shared" si="1"/>
        <v>20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</row>
    <row r="5" spans="1:36" s="77" customFormat="1" ht="18" customHeight="1">
      <c r="B5" s="74"/>
      <c r="C5" s="241"/>
      <c r="D5" s="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77" customFormat="1" ht="18" customHeight="1">
      <c r="B6" s="78" t="s">
        <v>163</v>
      </c>
      <c r="C6" s="72"/>
      <c r="D6" s="79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77" customFormat="1" ht="18" customHeight="1">
      <c r="B7" s="121" t="str">
        <f>'Assumptions Processing'!$B$19</f>
        <v>Net Sales</v>
      </c>
      <c r="C7" s="122"/>
      <c r="D7" s="122"/>
      <c r="E7" s="137">
        <f>'Assumptions Processing'!E19</f>
        <v>0</v>
      </c>
      <c r="F7" s="137">
        <f>'Assumptions Processing'!F19</f>
        <v>1280000000</v>
      </c>
      <c r="G7" s="137">
        <f>'Assumptions Processing'!G19</f>
        <v>2432000000</v>
      </c>
      <c r="H7" s="137">
        <f>'Assumptions Processing'!H19</f>
        <v>3465600000</v>
      </c>
      <c r="I7" s="137">
        <f>'Assumptions Processing'!I19</f>
        <v>3292319999.9999995</v>
      </c>
      <c r="J7" s="137">
        <f>'Assumptions Processing'!J19</f>
        <v>3127704000</v>
      </c>
      <c r="K7" s="137">
        <f>'Assumptions Processing'!K19</f>
        <v>2971318799.9999995</v>
      </c>
      <c r="L7" s="137">
        <f>'Assumptions Processing'!L19</f>
        <v>2822752859.9999995</v>
      </c>
      <c r="M7" s="137">
        <f>'Assumptions Processing'!M19</f>
        <v>2681615217</v>
      </c>
      <c r="N7" s="137">
        <f>'Assumptions Processing'!N19</f>
        <v>2547534456.1499996</v>
      </c>
      <c r="O7" s="137">
        <f>'Assumptions Processing'!O19</f>
        <v>2420157733.3424997</v>
      </c>
      <c r="P7" s="137">
        <f>'Assumptions Processing'!P19</f>
        <v>2299149846.675375</v>
      </c>
      <c r="Q7" s="137">
        <f>'Assumptions Processing'!Q19</f>
        <v>2184192354.3416057</v>
      </c>
      <c r="R7" s="137">
        <f>'Assumptions Processing'!R19</f>
        <v>2074982736.6245253</v>
      </c>
      <c r="S7" s="137">
        <f>'Assumptions Processing'!S19</f>
        <v>1971233599.7932992</v>
      </c>
      <c r="T7" s="137">
        <f>'Assumptions Processing'!T19</f>
        <v>1872671919.8036344</v>
      </c>
      <c r="U7" s="137">
        <f>'Assumptions Processing'!U19</f>
        <v>1779038323.8134527</v>
      </c>
      <c r="V7" s="137">
        <f>'Assumptions Processing'!V19</f>
        <v>1690086407.6227798</v>
      </c>
      <c r="W7" s="137">
        <f>'Assumptions Processing'!W19</f>
        <v>1605582087.241641</v>
      </c>
      <c r="X7" s="137">
        <f>'Assumptions Processing'!X19</f>
        <v>1525302982.879559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s="77" customFormat="1" ht="18" customHeight="1">
      <c r="B8" s="121" t="s">
        <v>164</v>
      </c>
      <c r="C8" s="122"/>
      <c r="D8" s="122"/>
      <c r="E8" s="137">
        <f>SUM(E9:E10)</f>
        <v>0</v>
      </c>
      <c r="F8" s="137">
        <f t="shared" ref="F8:X8" si="2">SUM(F9:F10)</f>
        <v>0</v>
      </c>
      <c r="G8" s="137">
        <f t="shared" si="2"/>
        <v>0</v>
      </c>
      <c r="H8" s="137">
        <f t="shared" si="2"/>
        <v>0</v>
      </c>
      <c r="I8" s="137">
        <f t="shared" si="2"/>
        <v>0</v>
      </c>
      <c r="J8" s="137">
        <f t="shared" si="2"/>
        <v>0</v>
      </c>
      <c r="K8" s="137">
        <f t="shared" si="2"/>
        <v>0</v>
      </c>
      <c r="L8" s="137">
        <f t="shared" si="2"/>
        <v>0</v>
      </c>
      <c r="M8" s="137">
        <f t="shared" si="2"/>
        <v>0</v>
      </c>
      <c r="N8" s="137">
        <f t="shared" si="2"/>
        <v>0</v>
      </c>
      <c r="O8" s="137">
        <f t="shared" si="2"/>
        <v>0</v>
      </c>
      <c r="P8" s="137">
        <f t="shared" si="2"/>
        <v>0</v>
      </c>
      <c r="Q8" s="137">
        <f t="shared" si="2"/>
        <v>0</v>
      </c>
      <c r="R8" s="137">
        <f t="shared" si="2"/>
        <v>0</v>
      </c>
      <c r="S8" s="137">
        <f t="shared" si="2"/>
        <v>0</v>
      </c>
      <c r="T8" s="137">
        <f t="shared" si="2"/>
        <v>0</v>
      </c>
      <c r="U8" s="137">
        <f t="shared" si="2"/>
        <v>0</v>
      </c>
      <c r="V8" s="137">
        <f t="shared" si="2"/>
        <v>0</v>
      </c>
      <c r="W8" s="137">
        <f t="shared" si="2"/>
        <v>0</v>
      </c>
      <c r="X8" s="137">
        <f t="shared" si="2"/>
        <v>0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s="77" customFormat="1" ht="18" customHeight="1">
      <c r="B9" s="123" t="str">
        <f>'Assumptions Processing'!B56</f>
        <v>CHIPS Direct Funding Contributions</v>
      </c>
      <c r="C9" s="72"/>
      <c r="D9" s="72"/>
      <c r="E9" s="138">
        <f>'Assumptions Processing'!E56</f>
        <v>0</v>
      </c>
      <c r="F9" s="138">
        <f>'Assumptions Processing'!F56</f>
        <v>0</v>
      </c>
      <c r="G9" s="138">
        <f>'Assumptions Processing'!G56</f>
        <v>0</v>
      </c>
      <c r="H9" s="138">
        <f>'Assumptions Processing'!H56</f>
        <v>0</v>
      </c>
      <c r="I9" s="138">
        <f>'Assumptions Processing'!I56</f>
        <v>0</v>
      </c>
      <c r="J9" s="138">
        <f>'Assumptions Processing'!J56</f>
        <v>0</v>
      </c>
      <c r="K9" s="138">
        <f>'Assumptions Processing'!K56</f>
        <v>0</v>
      </c>
      <c r="L9" s="138">
        <f>'Assumptions Processing'!L56</f>
        <v>0</v>
      </c>
      <c r="M9" s="138">
        <f>'Assumptions Processing'!M56</f>
        <v>0</v>
      </c>
      <c r="N9" s="138">
        <f>'Assumptions Processing'!N56</f>
        <v>0</v>
      </c>
      <c r="O9" s="138">
        <f>'Assumptions Processing'!O56</f>
        <v>0</v>
      </c>
      <c r="P9" s="138">
        <f>'Assumptions Processing'!P56</f>
        <v>0</v>
      </c>
      <c r="Q9" s="138">
        <f>'Assumptions Processing'!Q56</f>
        <v>0</v>
      </c>
      <c r="R9" s="138">
        <f>'Assumptions Processing'!R56</f>
        <v>0</v>
      </c>
      <c r="S9" s="138">
        <f>'Assumptions Processing'!S56</f>
        <v>0</v>
      </c>
      <c r="T9" s="138">
        <f>'Assumptions Processing'!T56</f>
        <v>0</v>
      </c>
      <c r="U9" s="138">
        <f>'Assumptions Processing'!U56</f>
        <v>0</v>
      </c>
      <c r="V9" s="138">
        <f>'Assumptions Processing'!V56</f>
        <v>0</v>
      </c>
      <c r="W9" s="138">
        <f>'Assumptions Processing'!W56</f>
        <v>0</v>
      </c>
      <c r="X9" s="138">
        <f>'Assumptions Processing'!X56</f>
        <v>0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s="77" customFormat="1" ht="18" customHeight="1">
      <c r="B10" s="123" t="str">
        <f>'Assumptions Processing'!B57</f>
        <v>State and Local Incentives</v>
      </c>
      <c r="C10" s="72"/>
      <c r="D10" s="72"/>
      <c r="E10" s="138">
        <f>'Assumptions Processing'!E57</f>
        <v>0</v>
      </c>
      <c r="F10" s="138">
        <f>'Assumptions Processing'!F57</f>
        <v>0</v>
      </c>
      <c r="G10" s="138">
        <f>'Assumptions Processing'!G57</f>
        <v>0</v>
      </c>
      <c r="H10" s="138">
        <f>'Assumptions Processing'!H57</f>
        <v>0</v>
      </c>
      <c r="I10" s="138">
        <f>'Assumptions Processing'!I57</f>
        <v>0</v>
      </c>
      <c r="J10" s="138">
        <f>'Assumptions Processing'!J57</f>
        <v>0</v>
      </c>
      <c r="K10" s="138">
        <f>'Assumptions Processing'!K57</f>
        <v>0</v>
      </c>
      <c r="L10" s="138">
        <f>'Assumptions Processing'!L57</f>
        <v>0</v>
      </c>
      <c r="M10" s="138">
        <f>'Assumptions Processing'!M57</f>
        <v>0</v>
      </c>
      <c r="N10" s="138">
        <f>'Assumptions Processing'!N57</f>
        <v>0</v>
      </c>
      <c r="O10" s="138">
        <f>'Assumptions Processing'!O57</f>
        <v>0</v>
      </c>
      <c r="P10" s="138">
        <f>'Assumptions Processing'!P57</f>
        <v>0</v>
      </c>
      <c r="Q10" s="138">
        <f>'Assumptions Processing'!Q57</f>
        <v>0</v>
      </c>
      <c r="R10" s="138">
        <f>'Assumptions Processing'!R57</f>
        <v>0</v>
      </c>
      <c r="S10" s="138">
        <f>'Assumptions Processing'!S57</f>
        <v>0</v>
      </c>
      <c r="T10" s="138">
        <f>'Assumptions Processing'!T57</f>
        <v>0</v>
      </c>
      <c r="U10" s="138">
        <f>'Assumptions Processing'!U57</f>
        <v>0</v>
      </c>
      <c r="V10" s="138">
        <f>'Assumptions Processing'!V57</f>
        <v>0</v>
      </c>
      <c r="W10" s="138">
        <f>'Assumptions Processing'!W57</f>
        <v>0</v>
      </c>
      <c r="X10" s="138">
        <f>'Assumptions Processing'!X57</f>
        <v>0</v>
      </c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s="77" customFormat="1" ht="18" customHeight="1">
      <c r="B11" s="124" t="s">
        <v>165</v>
      </c>
      <c r="C11" s="125"/>
      <c r="D11" s="125"/>
      <c r="E11" s="139">
        <f>SUM(E7:E8)</f>
        <v>0</v>
      </c>
      <c r="F11" s="139">
        <f t="shared" ref="F11:X11" si="3">SUM(F7:F8)</f>
        <v>1280000000</v>
      </c>
      <c r="G11" s="139">
        <f t="shared" si="3"/>
        <v>2432000000</v>
      </c>
      <c r="H11" s="139">
        <f t="shared" si="3"/>
        <v>3465600000</v>
      </c>
      <c r="I11" s="139">
        <f t="shared" si="3"/>
        <v>3292319999.9999995</v>
      </c>
      <c r="J11" s="139">
        <f t="shared" si="3"/>
        <v>3127704000</v>
      </c>
      <c r="K11" s="139">
        <f t="shared" si="3"/>
        <v>2971318799.9999995</v>
      </c>
      <c r="L11" s="139">
        <f t="shared" si="3"/>
        <v>2822752859.9999995</v>
      </c>
      <c r="M11" s="139">
        <f t="shared" si="3"/>
        <v>2681615217</v>
      </c>
      <c r="N11" s="139">
        <f t="shared" si="3"/>
        <v>2547534456.1499996</v>
      </c>
      <c r="O11" s="139">
        <f t="shared" si="3"/>
        <v>2420157733.3424997</v>
      </c>
      <c r="P11" s="139">
        <f t="shared" si="3"/>
        <v>2299149846.675375</v>
      </c>
      <c r="Q11" s="139">
        <f t="shared" si="3"/>
        <v>2184192354.3416057</v>
      </c>
      <c r="R11" s="139">
        <f t="shared" si="3"/>
        <v>2074982736.6245253</v>
      </c>
      <c r="S11" s="139">
        <f t="shared" si="3"/>
        <v>1971233599.7932992</v>
      </c>
      <c r="T11" s="139">
        <f t="shared" si="3"/>
        <v>1872671919.8036344</v>
      </c>
      <c r="U11" s="139">
        <f t="shared" si="3"/>
        <v>1779038323.8134527</v>
      </c>
      <c r="V11" s="139">
        <f t="shared" si="3"/>
        <v>1690086407.6227798</v>
      </c>
      <c r="W11" s="139">
        <f t="shared" si="3"/>
        <v>1605582087.241641</v>
      </c>
      <c r="X11" s="139">
        <f t="shared" si="3"/>
        <v>1525302982.879559</v>
      </c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s="77" customFormat="1" ht="18" customHeight="1">
      <c r="B12" s="82"/>
      <c r="C12" s="72"/>
      <c r="D12" s="72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s="77" customFormat="1" ht="18" customHeight="1">
      <c r="B13" s="83" t="s">
        <v>166</v>
      </c>
      <c r="C13" s="72"/>
      <c r="D13" s="72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s="77" customFormat="1" ht="18" customHeight="1">
      <c r="B14" s="80" t="str">
        <f>'Assumptions Processing'!B23</f>
        <v>Materials / Consumables / Chemicals</v>
      </c>
      <c r="C14" s="84"/>
      <c r="D14" s="85"/>
      <c r="E14" s="138">
        <f>'Assumptions Processing'!E23</f>
        <v>0</v>
      </c>
      <c r="F14" s="138">
        <f>'Assumptions Processing'!F23</f>
        <v>166666666.66666666</v>
      </c>
      <c r="G14" s="138">
        <f>'Assumptions Processing'!G23</f>
        <v>333333333.33333331</v>
      </c>
      <c r="H14" s="138">
        <f>'Assumptions Processing'!H23</f>
        <v>500000000</v>
      </c>
      <c r="I14" s="138">
        <f>'Assumptions Processing'!I23</f>
        <v>485000000</v>
      </c>
      <c r="J14" s="138">
        <f>'Assumptions Processing'!J23</f>
        <v>470450000</v>
      </c>
      <c r="K14" s="138">
        <f>'Assumptions Processing'!K23</f>
        <v>456336500</v>
      </c>
      <c r="L14" s="138">
        <f>'Assumptions Processing'!L23</f>
        <v>442646404.99999994</v>
      </c>
      <c r="M14" s="138">
        <f>'Assumptions Processing'!M23</f>
        <v>429367012.84999996</v>
      </c>
      <c r="N14" s="138">
        <f>'Assumptions Processing'!N23</f>
        <v>416486002.46449995</v>
      </c>
      <c r="O14" s="138">
        <f>'Assumptions Processing'!O23</f>
        <v>403991422.39056498</v>
      </c>
      <c r="P14" s="138">
        <f>'Assumptions Processing'!P23</f>
        <v>391871679.71884799</v>
      </c>
      <c r="Q14" s="138">
        <f>'Assumptions Processing'!Q23</f>
        <v>380115529.32728255</v>
      </c>
      <c r="R14" s="138">
        <f>'Assumptions Processing'!R23</f>
        <v>368712063.44746411</v>
      </c>
      <c r="S14" s="138">
        <f>'Assumptions Processing'!S23</f>
        <v>357650701.54404014</v>
      </c>
      <c r="T14" s="138">
        <f>'Assumptions Processing'!T23</f>
        <v>346921180.49771893</v>
      </c>
      <c r="U14" s="138">
        <f>'Assumptions Processing'!U23</f>
        <v>336513545.08278733</v>
      </c>
      <c r="V14" s="138">
        <f>'Assumptions Processing'!V23</f>
        <v>326418138.7303037</v>
      </c>
      <c r="W14" s="138">
        <f>'Assumptions Processing'!W23</f>
        <v>316625594.5683946</v>
      </c>
      <c r="X14" s="138">
        <f>'Assumptions Processing'!X23</f>
        <v>307126826.73134279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s="77" customFormat="1" ht="18" customHeight="1">
      <c r="B15" s="80" t="str">
        <f>'Assumptions Processing'!B24</f>
        <v>Labor</v>
      </c>
      <c r="C15" s="84"/>
      <c r="D15" s="85"/>
      <c r="E15" s="138">
        <f>'Assumptions Processing'!E24</f>
        <v>0</v>
      </c>
      <c r="F15" s="138">
        <f>'Assumptions Processing'!F24</f>
        <v>133333333.33333333</v>
      </c>
      <c r="G15" s="138">
        <f>'Assumptions Processing'!G24</f>
        <v>266666666.66666666</v>
      </c>
      <c r="H15" s="138">
        <f>'Assumptions Processing'!H24</f>
        <v>400000000</v>
      </c>
      <c r="I15" s="138">
        <f>'Assumptions Processing'!I24</f>
        <v>400000000</v>
      </c>
      <c r="J15" s="138">
        <f>'Assumptions Processing'!J24</f>
        <v>400000000</v>
      </c>
      <c r="K15" s="138">
        <f>'Assumptions Processing'!K24</f>
        <v>400000000</v>
      </c>
      <c r="L15" s="138">
        <f>'Assumptions Processing'!L24</f>
        <v>400000000</v>
      </c>
      <c r="M15" s="138">
        <f>'Assumptions Processing'!M24</f>
        <v>400000000</v>
      </c>
      <c r="N15" s="138">
        <f>'Assumptions Processing'!N24</f>
        <v>400000000</v>
      </c>
      <c r="O15" s="138">
        <f>'Assumptions Processing'!O24</f>
        <v>400000000</v>
      </c>
      <c r="P15" s="138">
        <f>'Assumptions Processing'!P24</f>
        <v>400000000</v>
      </c>
      <c r="Q15" s="138">
        <f>'Assumptions Processing'!Q24</f>
        <v>400000000</v>
      </c>
      <c r="R15" s="138">
        <f>'Assumptions Processing'!R24</f>
        <v>400000000</v>
      </c>
      <c r="S15" s="138">
        <f>'Assumptions Processing'!S24</f>
        <v>400000000</v>
      </c>
      <c r="T15" s="138">
        <f>'Assumptions Processing'!T24</f>
        <v>400000000</v>
      </c>
      <c r="U15" s="138">
        <f>'Assumptions Processing'!U24</f>
        <v>400000000</v>
      </c>
      <c r="V15" s="138">
        <f>'Assumptions Processing'!V24</f>
        <v>400000000</v>
      </c>
      <c r="W15" s="138">
        <f>'Assumptions Processing'!W24</f>
        <v>400000000</v>
      </c>
      <c r="X15" s="138">
        <f>'Assumptions Processing'!X24</f>
        <v>400000000</v>
      </c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s="77" customFormat="1" ht="18" customHeight="1">
      <c r="B16" s="80" t="str">
        <f>'Assumptions Processing'!B25</f>
        <v>Utilities</v>
      </c>
      <c r="C16" s="84"/>
      <c r="D16" s="85"/>
      <c r="E16" s="138">
        <f>'Assumptions Processing'!E25</f>
        <v>0</v>
      </c>
      <c r="F16" s="138">
        <f>'Assumptions Processing'!F25</f>
        <v>66666666.666666664</v>
      </c>
      <c r="G16" s="138">
        <f>'Assumptions Processing'!G25</f>
        <v>133333333.33333333</v>
      </c>
      <c r="H16" s="138">
        <f>'Assumptions Processing'!H25</f>
        <v>200000000</v>
      </c>
      <c r="I16" s="138">
        <f>'Assumptions Processing'!I25</f>
        <v>196000000</v>
      </c>
      <c r="J16" s="138">
        <f>'Assumptions Processing'!J25</f>
        <v>192079999.99999997</v>
      </c>
      <c r="K16" s="138">
        <f>'Assumptions Processing'!K25</f>
        <v>188238399.99999997</v>
      </c>
      <c r="L16" s="138">
        <f>'Assumptions Processing'!L25</f>
        <v>184473631.99999997</v>
      </c>
      <c r="M16" s="138">
        <f>'Assumptions Processing'!M25</f>
        <v>180784159.35999995</v>
      </c>
      <c r="N16" s="138">
        <f>'Assumptions Processing'!N25</f>
        <v>177168476.17279997</v>
      </c>
      <c r="O16" s="138">
        <f>'Assumptions Processing'!O25</f>
        <v>173625106.64934397</v>
      </c>
      <c r="P16" s="138">
        <f>'Assumptions Processing'!P25</f>
        <v>170152604.51635706</v>
      </c>
      <c r="Q16" s="138">
        <f>'Assumptions Processing'!Q25</f>
        <v>166749552.42602992</v>
      </c>
      <c r="R16" s="138">
        <f>'Assumptions Processing'!R25</f>
        <v>163414561.37750933</v>
      </c>
      <c r="S16" s="138">
        <f>'Assumptions Processing'!S25</f>
        <v>160146270.14995912</v>
      </c>
      <c r="T16" s="138">
        <f>'Assumptions Processing'!T25</f>
        <v>156943344.74695995</v>
      </c>
      <c r="U16" s="138">
        <f>'Assumptions Processing'!U25</f>
        <v>153804477.85202074</v>
      </c>
      <c r="V16" s="138">
        <f>'Assumptions Processing'!V25</f>
        <v>150728388.29498032</v>
      </c>
      <c r="W16" s="138">
        <f>'Assumptions Processing'!W25</f>
        <v>147713820.52908072</v>
      </c>
      <c r="X16" s="138">
        <f>'Assumptions Processing'!X25</f>
        <v>144759544.1184991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2:36" s="77" customFormat="1" ht="18" customHeight="1">
      <c r="B17" s="80" t="str">
        <f>'Assumptions Processing'!B26</f>
        <v>SG&amp;A</v>
      </c>
      <c r="C17" s="84"/>
      <c r="D17" s="85"/>
      <c r="E17" s="138">
        <f>'Assumptions Processing'!E26</f>
        <v>0</v>
      </c>
      <c r="F17" s="138">
        <f>'Assumptions Processing'!F26</f>
        <v>100000000</v>
      </c>
      <c r="G17" s="138">
        <f>'Assumptions Processing'!G26</f>
        <v>200000000</v>
      </c>
      <c r="H17" s="138">
        <f>'Assumptions Processing'!H26</f>
        <v>300000000</v>
      </c>
      <c r="I17" s="138">
        <f>'Assumptions Processing'!I26</f>
        <v>285000000</v>
      </c>
      <c r="J17" s="138">
        <f>'Assumptions Processing'!J26</f>
        <v>270750000</v>
      </c>
      <c r="K17" s="138">
        <f>'Assumptions Processing'!K26</f>
        <v>257212499.99999997</v>
      </c>
      <c r="L17" s="138">
        <f>'Assumptions Processing'!L26</f>
        <v>244351875</v>
      </c>
      <c r="M17" s="138">
        <f>'Assumptions Processing'!M26</f>
        <v>232134281.25</v>
      </c>
      <c r="N17" s="138">
        <f>'Assumptions Processing'!N26</f>
        <v>220527567.18749997</v>
      </c>
      <c r="O17" s="138">
        <f>'Assumptions Processing'!O26</f>
        <v>209501188.82812497</v>
      </c>
      <c r="P17" s="138">
        <f>'Assumptions Processing'!P26</f>
        <v>199026129.38671875</v>
      </c>
      <c r="Q17" s="138">
        <f>'Assumptions Processing'!Q26</f>
        <v>189074822.91738278</v>
      </c>
      <c r="R17" s="138">
        <f>'Assumptions Processing'!R26</f>
        <v>179621081.77151367</v>
      </c>
      <c r="S17" s="138">
        <f>'Assumptions Processing'!S26</f>
        <v>170640027.68293798</v>
      </c>
      <c r="T17" s="138">
        <f>'Assumptions Processing'!T26</f>
        <v>162108026.29879105</v>
      </c>
      <c r="U17" s="138">
        <f>'Assumptions Processing'!U26</f>
        <v>154002624.98385152</v>
      </c>
      <c r="V17" s="138">
        <f>'Assumptions Processing'!V26</f>
        <v>146302493.73465893</v>
      </c>
      <c r="W17" s="138">
        <f>'Assumptions Processing'!W26</f>
        <v>138987369.04792601</v>
      </c>
      <c r="X17" s="138">
        <f>'Assumptions Processing'!X26</f>
        <v>132038000.59552969</v>
      </c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2:36" s="77" customFormat="1" ht="18" customHeight="1">
      <c r="B18" s="80" t="str">
        <f>'Assumptions Processing'!B27</f>
        <v>R&amp;D</v>
      </c>
      <c r="C18" s="84"/>
      <c r="D18" s="85"/>
      <c r="E18" s="138">
        <f>'Assumptions Processing'!E27</f>
        <v>0</v>
      </c>
      <c r="F18" s="138">
        <f>'Assumptions Processing'!F27</f>
        <v>50000000</v>
      </c>
      <c r="G18" s="138">
        <f>'Assumptions Processing'!G27</f>
        <v>100000000</v>
      </c>
      <c r="H18" s="138">
        <f>'Assumptions Processing'!H27</f>
        <v>150000000</v>
      </c>
      <c r="I18" s="138">
        <f>'Assumptions Processing'!I27</f>
        <v>138000000</v>
      </c>
      <c r="J18" s="138">
        <f>'Assumptions Processing'!J27</f>
        <v>126960000</v>
      </c>
      <c r="K18" s="138">
        <f>'Assumptions Processing'!K27</f>
        <v>116803200</v>
      </c>
      <c r="L18" s="138">
        <f>'Assumptions Processing'!L27</f>
        <v>107458944.00000001</v>
      </c>
      <c r="M18" s="138">
        <f>'Assumptions Processing'!M27</f>
        <v>98862228.480000019</v>
      </c>
      <c r="N18" s="138">
        <f>'Assumptions Processing'!N27</f>
        <v>90953250.201600015</v>
      </c>
      <c r="O18" s="138">
        <f>'Assumptions Processing'!O27</f>
        <v>83676990.185472012</v>
      </c>
      <c r="P18" s="138">
        <f>'Assumptions Processing'!P27</f>
        <v>76982830.970634267</v>
      </c>
      <c r="Q18" s="138">
        <f>'Assumptions Processing'!Q27</f>
        <v>70824204.49298352</v>
      </c>
      <c r="R18" s="138">
        <f>'Assumptions Processing'!R27</f>
        <v>65158268.133544847</v>
      </c>
      <c r="S18" s="138">
        <f>'Assumptions Processing'!S27</f>
        <v>59945606.682861261</v>
      </c>
      <c r="T18" s="138">
        <f>'Assumptions Processing'!T27</f>
        <v>55149958.148232363</v>
      </c>
      <c r="U18" s="138">
        <f>'Assumptions Processing'!U27</f>
        <v>50737961.496373773</v>
      </c>
      <c r="V18" s="138">
        <f>'Assumptions Processing'!V27</f>
        <v>46678924.576663874</v>
      </c>
      <c r="W18" s="138">
        <f>'Assumptions Processing'!W27</f>
        <v>42944610.610530764</v>
      </c>
      <c r="X18" s="138">
        <f>'Assumptions Processing'!X27</f>
        <v>39509041.761688307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2:36" s="77" customFormat="1" ht="18" customHeight="1">
      <c r="B19" s="80" t="str">
        <f>'Assumptions Processing'!B28</f>
        <v>[Other Costs #1]</v>
      </c>
      <c r="C19" s="84"/>
      <c r="D19" s="85"/>
      <c r="E19" s="138">
        <f>'Assumptions Processing'!E28</f>
        <v>0</v>
      </c>
      <c r="F19" s="138">
        <f>'Assumptions Processing'!F28</f>
        <v>0</v>
      </c>
      <c r="G19" s="138">
        <f>'Assumptions Processing'!G28</f>
        <v>0</v>
      </c>
      <c r="H19" s="138">
        <f>'Assumptions Processing'!H28</f>
        <v>0</v>
      </c>
      <c r="I19" s="138">
        <f>'Assumptions Processing'!I28</f>
        <v>0</v>
      </c>
      <c r="J19" s="138">
        <f>'Assumptions Processing'!J28</f>
        <v>0</v>
      </c>
      <c r="K19" s="138">
        <f>'Assumptions Processing'!K28</f>
        <v>0</v>
      </c>
      <c r="L19" s="138">
        <f>'Assumptions Processing'!L28</f>
        <v>0</v>
      </c>
      <c r="M19" s="138">
        <f>'Assumptions Processing'!M28</f>
        <v>0</v>
      </c>
      <c r="N19" s="138">
        <f>'Assumptions Processing'!N28</f>
        <v>0</v>
      </c>
      <c r="O19" s="138">
        <f>'Assumptions Processing'!O28</f>
        <v>0</v>
      </c>
      <c r="P19" s="138">
        <f>'Assumptions Processing'!P28</f>
        <v>0</v>
      </c>
      <c r="Q19" s="138">
        <f>'Assumptions Processing'!Q28</f>
        <v>0</v>
      </c>
      <c r="R19" s="138">
        <f>'Assumptions Processing'!R28</f>
        <v>0</v>
      </c>
      <c r="S19" s="138">
        <f>'Assumptions Processing'!S28</f>
        <v>0</v>
      </c>
      <c r="T19" s="138">
        <f>'Assumptions Processing'!T28</f>
        <v>0</v>
      </c>
      <c r="U19" s="138">
        <f>'Assumptions Processing'!U28</f>
        <v>0</v>
      </c>
      <c r="V19" s="138">
        <f>'Assumptions Processing'!V28</f>
        <v>0</v>
      </c>
      <c r="W19" s="138">
        <f>'Assumptions Processing'!W28</f>
        <v>0</v>
      </c>
      <c r="X19" s="138">
        <f>'Assumptions Processing'!X28</f>
        <v>0</v>
      </c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2:36" s="77" customFormat="1" ht="18" customHeight="1">
      <c r="B20" s="80" t="str">
        <f>'Assumptions Processing'!B29</f>
        <v>[Other Costs #2]</v>
      </c>
      <c r="C20" s="84"/>
      <c r="D20" s="85"/>
      <c r="E20" s="138">
        <f>'Assumptions Processing'!E29</f>
        <v>0</v>
      </c>
      <c r="F20" s="138">
        <f>'Assumptions Processing'!F29</f>
        <v>0</v>
      </c>
      <c r="G20" s="138">
        <f>'Assumptions Processing'!G29</f>
        <v>0</v>
      </c>
      <c r="H20" s="138">
        <f>'Assumptions Processing'!H29</f>
        <v>0</v>
      </c>
      <c r="I20" s="138">
        <f>'Assumptions Processing'!I29</f>
        <v>0</v>
      </c>
      <c r="J20" s="138">
        <f>'Assumptions Processing'!J29</f>
        <v>0</v>
      </c>
      <c r="K20" s="138">
        <f>'Assumptions Processing'!K29</f>
        <v>0</v>
      </c>
      <c r="L20" s="138">
        <f>'Assumptions Processing'!L29</f>
        <v>0</v>
      </c>
      <c r="M20" s="138">
        <f>'Assumptions Processing'!M29</f>
        <v>0</v>
      </c>
      <c r="N20" s="138">
        <f>'Assumptions Processing'!N29</f>
        <v>0</v>
      </c>
      <c r="O20" s="138">
        <f>'Assumptions Processing'!O29</f>
        <v>0</v>
      </c>
      <c r="P20" s="138">
        <f>'Assumptions Processing'!P29</f>
        <v>0</v>
      </c>
      <c r="Q20" s="138">
        <f>'Assumptions Processing'!Q29</f>
        <v>0</v>
      </c>
      <c r="R20" s="138">
        <f>'Assumptions Processing'!R29</f>
        <v>0</v>
      </c>
      <c r="S20" s="138">
        <f>'Assumptions Processing'!S29</f>
        <v>0</v>
      </c>
      <c r="T20" s="138">
        <f>'Assumptions Processing'!T29</f>
        <v>0</v>
      </c>
      <c r="U20" s="138">
        <f>'Assumptions Processing'!U29</f>
        <v>0</v>
      </c>
      <c r="V20" s="138">
        <f>'Assumptions Processing'!V29</f>
        <v>0</v>
      </c>
      <c r="W20" s="138">
        <f>'Assumptions Processing'!W29</f>
        <v>0</v>
      </c>
      <c r="X20" s="138">
        <f>'Assumptions Processing'!X29</f>
        <v>0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36" s="77" customFormat="1" ht="18" customHeight="1">
      <c r="B21" s="80" t="str">
        <f>'Assumptions Processing'!B30</f>
        <v>[Other Costs #3]</v>
      </c>
      <c r="C21" s="84"/>
      <c r="D21" s="85"/>
      <c r="E21" s="138">
        <f>'Assumptions Processing'!E30</f>
        <v>0</v>
      </c>
      <c r="F21" s="138">
        <f>'Assumptions Processing'!F30</f>
        <v>0</v>
      </c>
      <c r="G21" s="138">
        <f>'Assumptions Processing'!G30</f>
        <v>0</v>
      </c>
      <c r="H21" s="138">
        <f>'Assumptions Processing'!H30</f>
        <v>0</v>
      </c>
      <c r="I21" s="138">
        <f>'Assumptions Processing'!I30</f>
        <v>0</v>
      </c>
      <c r="J21" s="138">
        <f>'Assumptions Processing'!J30</f>
        <v>0</v>
      </c>
      <c r="K21" s="138">
        <f>'Assumptions Processing'!K30</f>
        <v>0</v>
      </c>
      <c r="L21" s="138">
        <f>'Assumptions Processing'!L30</f>
        <v>0</v>
      </c>
      <c r="M21" s="138">
        <f>'Assumptions Processing'!M30</f>
        <v>0</v>
      </c>
      <c r="N21" s="138">
        <f>'Assumptions Processing'!N30</f>
        <v>0</v>
      </c>
      <c r="O21" s="138">
        <f>'Assumptions Processing'!O30</f>
        <v>0</v>
      </c>
      <c r="P21" s="138">
        <f>'Assumptions Processing'!P30</f>
        <v>0</v>
      </c>
      <c r="Q21" s="138">
        <f>'Assumptions Processing'!Q30</f>
        <v>0</v>
      </c>
      <c r="R21" s="138">
        <f>'Assumptions Processing'!R30</f>
        <v>0</v>
      </c>
      <c r="S21" s="138">
        <f>'Assumptions Processing'!S30</f>
        <v>0</v>
      </c>
      <c r="T21" s="138">
        <f>'Assumptions Processing'!T30</f>
        <v>0</v>
      </c>
      <c r="U21" s="138">
        <f>'Assumptions Processing'!U30</f>
        <v>0</v>
      </c>
      <c r="V21" s="138">
        <f>'Assumptions Processing'!V30</f>
        <v>0</v>
      </c>
      <c r="W21" s="138">
        <f>'Assumptions Processing'!W30</f>
        <v>0</v>
      </c>
      <c r="X21" s="138">
        <f>'Assumptions Processing'!X30</f>
        <v>0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2:36" s="77" customFormat="1" ht="18" customHeight="1">
      <c r="B22" s="124" t="s">
        <v>167</v>
      </c>
      <c r="C22" s="132"/>
      <c r="D22" s="133"/>
      <c r="E22" s="140">
        <f t="shared" ref="E22:X22" si="4">SUM(E14:E21)</f>
        <v>0</v>
      </c>
      <c r="F22" s="140">
        <f t="shared" si="4"/>
        <v>516666666.66666669</v>
      </c>
      <c r="G22" s="140">
        <f t="shared" si="4"/>
        <v>1033333333.3333334</v>
      </c>
      <c r="H22" s="140">
        <f t="shared" si="4"/>
        <v>1550000000</v>
      </c>
      <c r="I22" s="140">
        <f t="shared" si="4"/>
        <v>1504000000</v>
      </c>
      <c r="J22" s="140">
        <f t="shared" si="4"/>
        <v>1460240000</v>
      </c>
      <c r="K22" s="140">
        <f t="shared" si="4"/>
        <v>1418590600</v>
      </c>
      <c r="L22" s="140">
        <f t="shared" si="4"/>
        <v>1378930856</v>
      </c>
      <c r="M22" s="140">
        <f t="shared" si="4"/>
        <v>1341147681.9399998</v>
      </c>
      <c r="N22" s="140">
        <f t="shared" si="4"/>
        <v>1305135296.0263999</v>
      </c>
      <c r="O22" s="140">
        <f t="shared" si="4"/>
        <v>1270794708.0535059</v>
      </c>
      <c r="P22" s="140">
        <f t="shared" si="4"/>
        <v>1238033244.5925581</v>
      </c>
      <c r="Q22" s="140">
        <f t="shared" si="4"/>
        <v>1206764109.1636789</v>
      </c>
      <c r="R22" s="140">
        <f t="shared" si="4"/>
        <v>1176905974.730032</v>
      </c>
      <c r="S22" s="140">
        <f t="shared" si="4"/>
        <v>1148382606.0597987</v>
      </c>
      <c r="T22" s="140">
        <f t="shared" si="4"/>
        <v>1121122509.6917024</v>
      </c>
      <c r="U22" s="140">
        <f t="shared" si="4"/>
        <v>1095058609.4150333</v>
      </c>
      <c r="V22" s="140">
        <f t="shared" si="4"/>
        <v>1070127945.3366069</v>
      </c>
      <c r="W22" s="140">
        <f t="shared" si="4"/>
        <v>1046271394.7559322</v>
      </c>
      <c r="X22" s="140">
        <f t="shared" si="4"/>
        <v>1023433413.2070599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2:36" s="77" customFormat="1" ht="18" customHeight="1">
      <c r="B23" s="82"/>
      <c r="C23" s="72"/>
      <c r="D23" s="72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2:36" s="77" customFormat="1" ht="18" customHeight="1">
      <c r="B24" s="78" t="s">
        <v>168</v>
      </c>
      <c r="C24" s="72"/>
      <c r="D24" s="72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2:36" s="77" customFormat="1" ht="18" customHeight="1">
      <c r="B25" s="80" t="str">
        <f>'Control Panel'!B76</f>
        <v>Construction</v>
      </c>
      <c r="C25" s="72"/>
      <c r="D25" s="72"/>
      <c r="E25" s="138">
        <f>'Assumptions Processing'!E61</f>
        <v>29150000</v>
      </c>
      <c r="F25" s="138">
        <f>'Assumptions Processing'!F61</f>
        <v>58300000</v>
      </c>
      <c r="G25" s="138">
        <f>'Assumptions Processing'!G61</f>
        <v>58300000</v>
      </c>
      <c r="H25" s="138">
        <f>'Assumptions Processing'!H61</f>
        <v>58300000</v>
      </c>
      <c r="I25" s="138">
        <f>'Assumptions Processing'!I61</f>
        <v>58300000</v>
      </c>
      <c r="J25" s="138">
        <f>'Assumptions Processing'!J61</f>
        <v>58300000</v>
      </c>
      <c r="K25" s="138">
        <f>'Assumptions Processing'!K61</f>
        <v>58300000</v>
      </c>
      <c r="L25" s="138">
        <f>'Assumptions Processing'!L61</f>
        <v>58300000</v>
      </c>
      <c r="M25" s="138">
        <f>'Assumptions Processing'!M61</f>
        <v>58300000</v>
      </c>
      <c r="N25" s="138">
        <f>'Assumptions Processing'!N61</f>
        <v>58300000</v>
      </c>
      <c r="O25" s="138">
        <f>'Assumptions Processing'!O61</f>
        <v>58300000</v>
      </c>
      <c r="P25" s="138">
        <f>'Assumptions Processing'!P61</f>
        <v>58300000</v>
      </c>
      <c r="Q25" s="138">
        <f>'Assumptions Processing'!Q61</f>
        <v>58300000</v>
      </c>
      <c r="R25" s="138">
        <f>'Assumptions Processing'!R61</f>
        <v>58300000</v>
      </c>
      <c r="S25" s="138">
        <f>'Assumptions Processing'!S61</f>
        <v>58300000</v>
      </c>
      <c r="T25" s="138">
        <f>'Assumptions Processing'!T61</f>
        <v>29150000</v>
      </c>
      <c r="U25" s="138">
        <f>'Assumptions Processing'!U61</f>
        <v>0</v>
      </c>
      <c r="V25" s="138">
        <f>'Assumptions Processing'!V61</f>
        <v>0</v>
      </c>
      <c r="W25" s="138">
        <f>'Assumptions Processing'!W61</f>
        <v>0</v>
      </c>
      <c r="X25" s="138">
        <f>'Assumptions Processing'!X61</f>
        <v>0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2:36" s="77" customFormat="1" ht="18" customHeight="1">
      <c r="B26" s="80" t="str">
        <f>'Control Panel'!B77</f>
        <v>Equipment</v>
      </c>
      <c r="C26" s="72"/>
      <c r="D26" s="72"/>
      <c r="E26" s="138">
        <f>'Assumptions Processing'!E62</f>
        <v>0</v>
      </c>
      <c r="F26" s="138">
        <f>'Assumptions Processing'!F62</f>
        <v>397500000</v>
      </c>
      <c r="G26" s="138">
        <f>'Assumptions Processing'!G62</f>
        <v>795000000</v>
      </c>
      <c r="H26" s="138">
        <f>'Assumptions Processing'!H62</f>
        <v>795000000</v>
      </c>
      <c r="I26" s="138">
        <f>'Assumptions Processing'!I62</f>
        <v>795000000</v>
      </c>
      <c r="J26" s="138">
        <f>'Assumptions Processing'!J62</f>
        <v>795000000</v>
      </c>
      <c r="K26" s="138">
        <f>'Assumptions Processing'!K62</f>
        <v>795000000</v>
      </c>
      <c r="L26" s="138">
        <f>'Assumptions Processing'!L62</f>
        <v>397500000</v>
      </c>
      <c r="M26" s="138">
        <f>'Assumptions Processing'!M62</f>
        <v>0</v>
      </c>
      <c r="N26" s="138">
        <f>'Assumptions Processing'!N62</f>
        <v>0</v>
      </c>
      <c r="O26" s="138">
        <f>'Assumptions Processing'!O62</f>
        <v>0</v>
      </c>
      <c r="P26" s="138">
        <f>'Assumptions Processing'!P62</f>
        <v>0</v>
      </c>
      <c r="Q26" s="138">
        <f>'Assumptions Processing'!Q62</f>
        <v>0</v>
      </c>
      <c r="R26" s="138">
        <f>'Assumptions Processing'!R62</f>
        <v>0</v>
      </c>
      <c r="S26" s="138">
        <f>'Assumptions Processing'!S62</f>
        <v>0</v>
      </c>
      <c r="T26" s="138">
        <f>'Assumptions Processing'!T62</f>
        <v>0</v>
      </c>
      <c r="U26" s="138">
        <f>'Assumptions Processing'!U62</f>
        <v>0</v>
      </c>
      <c r="V26" s="138">
        <f>'Assumptions Processing'!V62</f>
        <v>0</v>
      </c>
      <c r="W26" s="138">
        <f>'Assumptions Processing'!W62</f>
        <v>0</v>
      </c>
      <c r="X26" s="138">
        <f>'Assumptions Processing'!X62</f>
        <v>0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2:36" s="77" customFormat="1" ht="18" customHeight="1">
      <c r="B27" s="80" t="str">
        <f>'Control Panel'!B78</f>
        <v>Administrative Expenses directly attributable to facility construction</v>
      </c>
      <c r="C27" s="72"/>
      <c r="D27" s="72"/>
      <c r="E27" s="138">
        <f>'Assumptions Processing'!E63</f>
        <v>3312500</v>
      </c>
      <c r="F27" s="138">
        <f>'Assumptions Processing'!F63</f>
        <v>6625000</v>
      </c>
      <c r="G27" s="138">
        <f>'Assumptions Processing'!G63</f>
        <v>13250000</v>
      </c>
      <c r="H27" s="138">
        <f>'Assumptions Processing'!H63</f>
        <v>13250000</v>
      </c>
      <c r="I27" s="138">
        <f>'Assumptions Processing'!I63</f>
        <v>13250000</v>
      </c>
      <c r="J27" s="138">
        <f>'Assumptions Processing'!J63</f>
        <v>13250000</v>
      </c>
      <c r="K27" s="138">
        <f>'Assumptions Processing'!K63</f>
        <v>9937500</v>
      </c>
      <c r="L27" s="138">
        <f>'Assumptions Processing'!L63</f>
        <v>6625000</v>
      </c>
      <c r="M27" s="138">
        <f>'Assumptions Processing'!M63</f>
        <v>0</v>
      </c>
      <c r="N27" s="138">
        <f>'Assumptions Processing'!N63</f>
        <v>0</v>
      </c>
      <c r="O27" s="138">
        <f>'Assumptions Processing'!O63</f>
        <v>0</v>
      </c>
      <c r="P27" s="138">
        <f>'Assumptions Processing'!P63</f>
        <v>0</v>
      </c>
      <c r="Q27" s="138">
        <f>'Assumptions Processing'!Q63</f>
        <v>0</v>
      </c>
      <c r="R27" s="138">
        <f>'Assumptions Processing'!R63</f>
        <v>0</v>
      </c>
      <c r="S27" s="138">
        <f>'Assumptions Processing'!S63</f>
        <v>0</v>
      </c>
      <c r="T27" s="138">
        <f>'Assumptions Processing'!T63</f>
        <v>0</v>
      </c>
      <c r="U27" s="138">
        <f>'Assumptions Processing'!U63</f>
        <v>0</v>
      </c>
      <c r="V27" s="138">
        <f>'Assumptions Processing'!V63</f>
        <v>0</v>
      </c>
      <c r="W27" s="138">
        <f>'Assumptions Processing'!W63</f>
        <v>0</v>
      </c>
      <c r="X27" s="138">
        <f>'Assumptions Processing'!X63</f>
        <v>0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2:36" s="77" customFormat="1" ht="18" customHeight="1">
      <c r="B28" s="80" t="str">
        <f>'Control Panel'!B79</f>
        <v>Infrastructure Improvements</v>
      </c>
      <c r="C28" s="72"/>
      <c r="D28" s="72"/>
      <c r="E28" s="138">
        <f>'Assumptions Processing'!E64</f>
        <v>3312500</v>
      </c>
      <c r="F28" s="138">
        <f>'Assumptions Processing'!F64</f>
        <v>6625000</v>
      </c>
      <c r="G28" s="138">
        <f>'Assumptions Processing'!G64</f>
        <v>13250000</v>
      </c>
      <c r="H28" s="138">
        <f>'Assumptions Processing'!H64</f>
        <v>13250000</v>
      </c>
      <c r="I28" s="138">
        <f>'Assumptions Processing'!I64</f>
        <v>13250000</v>
      </c>
      <c r="J28" s="138">
        <f>'Assumptions Processing'!J64</f>
        <v>13250000</v>
      </c>
      <c r="K28" s="138">
        <f>'Assumptions Processing'!K64</f>
        <v>9937500</v>
      </c>
      <c r="L28" s="138">
        <f>'Assumptions Processing'!L64</f>
        <v>6625000</v>
      </c>
      <c r="M28" s="138">
        <f>'Assumptions Processing'!M64</f>
        <v>0</v>
      </c>
      <c r="N28" s="138">
        <f>'Assumptions Processing'!N64</f>
        <v>0</v>
      </c>
      <c r="O28" s="138">
        <f>'Assumptions Processing'!O64</f>
        <v>0</v>
      </c>
      <c r="P28" s="138">
        <f>'Assumptions Processing'!P64</f>
        <v>0</v>
      </c>
      <c r="Q28" s="138">
        <f>'Assumptions Processing'!Q64</f>
        <v>0</v>
      </c>
      <c r="R28" s="138">
        <f>'Assumptions Processing'!R64</f>
        <v>0</v>
      </c>
      <c r="S28" s="138">
        <f>'Assumptions Processing'!S64</f>
        <v>0</v>
      </c>
      <c r="T28" s="138">
        <f>'Assumptions Processing'!T64</f>
        <v>0</v>
      </c>
      <c r="U28" s="138">
        <f>'Assumptions Processing'!U64</f>
        <v>0</v>
      </c>
      <c r="V28" s="138">
        <f>'Assumptions Processing'!V64</f>
        <v>0</v>
      </c>
      <c r="W28" s="138">
        <f>'Assumptions Processing'!W64</f>
        <v>0</v>
      </c>
      <c r="X28" s="138">
        <f>'Assumptions Processing'!X64</f>
        <v>0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2:36" s="77" customFormat="1" ht="18" customHeight="1">
      <c r="B29" s="80" t="str">
        <f>'Control Panel'!B80</f>
        <v>Other Capital Investment</v>
      </c>
      <c r="C29" s="72"/>
      <c r="D29" s="72"/>
      <c r="E29" s="138">
        <f>'Assumptions Processing'!E65</f>
        <v>19875000</v>
      </c>
      <c r="F29" s="138">
        <f>'Assumptions Processing'!F65</f>
        <v>39750000</v>
      </c>
      <c r="G29" s="138">
        <f>'Assumptions Processing'!G65</f>
        <v>79500000</v>
      </c>
      <c r="H29" s="138">
        <f>'Assumptions Processing'!H65</f>
        <v>79500000</v>
      </c>
      <c r="I29" s="138">
        <f>'Assumptions Processing'!I65</f>
        <v>79500000</v>
      </c>
      <c r="J29" s="138">
        <f>'Assumptions Processing'!J65</f>
        <v>79500000</v>
      </c>
      <c r="K29" s="138">
        <f>'Assumptions Processing'!K65</f>
        <v>59625000</v>
      </c>
      <c r="L29" s="138">
        <f>'Assumptions Processing'!L65</f>
        <v>39750000</v>
      </c>
      <c r="M29" s="138">
        <f>'Assumptions Processing'!M65</f>
        <v>0</v>
      </c>
      <c r="N29" s="138">
        <f>'Assumptions Processing'!N65</f>
        <v>0</v>
      </c>
      <c r="O29" s="138">
        <f>'Assumptions Processing'!O65</f>
        <v>0</v>
      </c>
      <c r="P29" s="138">
        <f>'Assumptions Processing'!P65</f>
        <v>0</v>
      </c>
      <c r="Q29" s="138">
        <f>'Assumptions Processing'!Q65</f>
        <v>0</v>
      </c>
      <c r="R29" s="138">
        <f>'Assumptions Processing'!R65</f>
        <v>0</v>
      </c>
      <c r="S29" s="138">
        <f>'Assumptions Processing'!S65</f>
        <v>0</v>
      </c>
      <c r="T29" s="138">
        <f>'Assumptions Processing'!T65</f>
        <v>0</v>
      </c>
      <c r="U29" s="138">
        <f>'Assumptions Processing'!U65</f>
        <v>0</v>
      </c>
      <c r="V29" s="138">
        <f>'Assumptions Processing'!V65</f>
        <v>0</v>
      </c>
      <c r="W29" s="138">
        <f>'Assumptions Processing'!W65</f>
        <v>0</v>
      </c>
      <c r="X29" s="138">
        <f>'Assumptions Processing'!X65</f>
        <v>0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2:36" s="77" customFormat="1" ht="18" customHeight="1">
      <c r="B30" s="80" t="str">
        <f>'Control Panel'!B81</f>
        <v>Ongoing annual capital investment (after facility initiates operation)</v>
      </c>
      <c r="C30" s="72"/>
      <c r="D30" s="72"/>
      <c r="E30" s="138">
        <f>'Assumptions Processing'!E66</f>
        <v>0</v>
      </c>
      <c r="F30" s="138">
        <f>'Assumptions Processing'!F66</f>
        <v>0</v>
      </c>
      <c r="G30" s="138">
        <f>'Assumptions Processing'!G66</f>
        <v>0</v>
      </c>
      <c r="H30" s="138">
        <f>'Assumptions Processing'!H66</f>
        <v>53333333.333333336</v>
      </c>
      <c r="I30" s="138">
        <f>'Assumptions Processing'!I66</f>
        <v>106666666.66666667</v>
      </c>
      <c r="J30" s="138">
        <f>'Assumptions Processing'!J66</f>
        <v>160000000</v>
      </c>
      <c r="K30" s="138">
        <f>'Assumptions Processing'!K66</f>
        <v>213333333.33333334</v>
      </c>
      <c r="L30" s="138">
        <f>'Assumptions Processing'!L66</f>
        <v>266666666.66666669</v>
      </c>
      <c r="M30" s="138">
        <f>'Assumptions Processing'!M66</f>
        <v>320000000</v>
      </c>
      <c r="N30" s="138">
        <f>'Assumptions Processing'!N66</f>
        <v>320000000</v>
      </c>
      <c r="O30" s="138">
        <f>'Assumptions Processing'!O66</f>
        <v>320000000</v>
      </c>
      <c r="P30" s="138">
        <f>'Assumptions Processing'!P66</f>
        <v>320000000</v>
      </c>
      <c r="Q30" s="138">
        <f>'Assumptions Processing'!Q66</f>
        <v>320000000</v>
      </c>
      <c r="R30" s="138">
        <f>'Assumptions Processing'!R66</f>
        <v>320000000</v>
      </c>
      <c r="S30" s="138">
        <f>'Assumptions Processing'!S66</f>
        <v>320000000</v>
      </c>
      <c r="T30" s="138">
        <f>'Assumptions Processing'!T66</f>
        <v>320000000</v>
      </c>
      <c r="U30" s="138">
        <f>'Assumptions Processing'!U66</f>
        <v>320000000</v>
      </c>
      <c r="V30" s="138">
        <f>'Assumptions Processing'!V66</f>
        <v>320000000</v>
      </c>
      <c r="W30" s="138">
        <f>'Assumptions Processing'!W66</f>
        <v>320000000</v>
      </c>
      <c r="X30" s="138">
        <f>'Assumptions Processing'!X66</f>
        <v>320000000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2:36" s="77" customFormat="1" ht="18" customHeight="1">
      <c r="B31" s="131" t="s">
        <v>169</v>
      </c>
      <c r="C31" s="125"/>
      <c r="D31" s="130"/>
      <c r="E31" s="144">
        <f>'Assumptions Processing'!E67</f>
        <v>55650000</v>
      </c>
      <c r="F31" s="144">
        <f>'Assumptions Processing'!F67</f>
        <v>508800000</v>
      </c>
      <c r="G31" s="144">
        <f>'Assumptions Processing'!G67</f>
        <v>959300000</v>
      </c>
      <c r="H31" s="144">
        <f>'Assumptions Processing'!H67</f>
        <v>1012633333.3333334</v>
      </c>
      <c r="I31" s="144">
        <f>'Assumptions Processing'!I67</f>
        <v>1065966666.6666666</v>
      </c>
      <c r="J31" s="144">
        <f>'Assumptions Processing'!J67</f>
        <v>1119300000</v>
      </c>
      <c r="K31" s="144">
        <f>'Assumptions Processing'!K67</f>
        <v>1146133333.3333333</v>
      </c>
      <c r="L31" s="144">
        <f>'Assumptions Processing'!L67</f>
        <v>775466666.66666675</v>
      </c>
      <c r="M31" s="144">
        <f>'Assumptions Processing'!M67</f>
        <v>378300000</v>
      </c>
      <c r="N31" s="144">
        <f>'Assumptions Processing'!N67</f>
        <v>378300000</v>
      </c>
      <c r="O31" s="144">
        <f>'Assumptions Processing'!O67</f>
        <v>378300000</v>
      </c>
      <c r="P31" s="144">
        <f>'Assumptions Processing'!P67</f>
        <v>378300000</v>
      </c>
      <c r="Q31" s="144">
        <f>'Assumptions Processing'!Q67</f>
        <v>378300000</v>
      </c>
      <c r="R31" s="144">
        <f>'Assumptions Processing'!R67</f>
        <v>378300000</v>
      </c>
      <c r="S31" s="144">
        <f>'Assumptions Processing'!S67</f>
        <v>378300000</v>
      </c>
      <c r="T31" s="144">
        <f>'Assumptions Processing'!T67</f>
        <v>349150000</v>
      </c>
      <c r="U31" s="144">
        <f>'Assumptions Processing'!U67</f>
        <v>320000000</v>
      </c>
      <c r="V31" s="144">
        <f>'Assumptions Processing'!V67</f>
        <v>320000000</v>
      </c>
      <c r="W31" s="144">
        <f>'Assumptions Processing'!W67</f>
        <v>320000000</v>
      </c>
      <c r="X31" s="144">
        <f>'Assumptions Processing'!X67</f>
        <v>320000000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2:36" s="77" customFormat="1" ht="18" customHeight="1">
      <c r="B32" s="145"/>
      <c r="C32" s="84"/>
      <c r="D32" s="135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 s="77" customFormat="1" ht="18" customHeight="1">
      <c r="B33" s="83" t="s">
        <v>170</v>
      </c>
      <c r="C33" s="72"/>
      <c r="D33" s="72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 s="77" customFormat="1" ht="18" customHeight="1">
      <c r="B34" s="80" t="str">
        <f>'Assumptions Processing'!$B$40</f>
        <v>Senior Debt Interest</v>
      </c>
      <c r="C34" s="72"/>
      <c r="D34" s="72"/>
      <c r="E34" s="138">
        <f>-'Assumptions Processing'!E40</f>
        <v>-12500000</v>
      </c>
      <c r="F34" s="138">
        <f>-'Assumptions Processing'!F40</f>
        <v>-37500000</v>
      </c>
      <c r="G34" s="138">
        <f>-'Assumptions Processing'!G40</f>
        <v>-62500000</v>
      </c>
      <c r="H34" s="138">
        <f>-'Assumptions Processing'!H40</f>
        <v>-70394256.808268592</v>
      </c>
      <c r="I34" s="138">
        <f>-'Assumptions Processing'!I40</f>
        <v>-60952483.265219241</v>
      </c>
      <c r="J34" s="138">
        <f>-'Assumptions Processing'!J40</f>
        <v>-51038621.045017391</v>
      </c>
      <c r="K34" s="138">
        <f>-'Assumptions Processing'!K40</f>
        <v>-40629065.713805452</v>
      </c>
      <c r="L34" s="138">
        <f>-'Assumptions Processing'!L40</f>
        <v>-29699032.616032917</v>
      </c>
      <c r="M34" s="138">
        <f>-'Assumptions Processing'!M40</f>
        <v>-18222497.863371756</v>
      </c>
      <c r="N34" s="138">
        <f>-'Assumptions Processing'!N40</f>
        <v>-6172136.3730775332</v>
      </c>
      <c r="O34" s="138">
        <f>-'Assumptions Processing'!O40</f>
        <v>0</v>
      </c>
      <c r="P34" s="138">
        <f>-'Assumptions Processing'!P40</f>
        <v>0</v>
      </c>
      <c r="Q34" s="138">
        <f>-'Assumptions Processing'!Q40</f>
        <v>0</v>
      </c>
      <c r="R34" s="138">
        <f>-'Assumptions Processing'!R40</f>
        <v>0</v>
      </c>
      <c r="S34" s="138">
        <f>-'Assumptions Processing'!S40</f>
        <v>0</v>
      </c>
      <c r="T34" s="138">
        <f>-'Assumptions Processing'!T40</f>
        <v>0</v>
      </c>
      <c r="U34" s="138">
        <f>-'Assumptions Processing'!U40</f>
        <v>0</v>
      </c>
      <c r="V34" s="138">
        <f>-'Assumptions Processing'!V40</f>
        <v>0</v>
      </c>
      <c r="W34" s="138">
        <f>-'Assumptions Processing'!W40</f>
        <v>0</v>
      </c>
      <c r="X34" s="138">
        <f>-'Assumptions Processing'!X40</f>
        <v>0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 s="77" customFormat="1" ht="18" customHeight="1">
      <c r="B35" s="80" t="str">
        <f>'Assumptions Processing'!$B$50</f>
        <v>Subordinated Debt Interest</v>
      </c>
      <c r="C35" s="72"/>
      <c r="D35" s="72"/>
      <c r="E35" s="138">
        <f>-'Assumptions Processing'!E50</f>
        <v>-20000000</v>
      </c>
      <c r="F35" s="138">
        <f>-'Assumptions Processing'!F50</f>
        <v>-37500000</v>
      </c>
      <c r="G35" s="138">
        <f>-'Assumptions Processing'!G50</f>
        <v>-62500000</v>
      </c>
      <c r="H35" s="138">
        <f>-'Assumptions Processing'!H50</f>
        <v>-68607882.953743622</v>
      </c>
      <c r="I35" s="138">
        <f>-'Assumptions Processing'!I50</f>
        <v>-55312279.497530371</v>
      </c>
      <c r="J35" s="138">
        <f>-'Assumptions Processing'!J50</f>
        <v>-40953027.764820047</v>
      </c>
      <c r="K35" s="138">
        <f>-'Assumptions Processing'!K50</f>
        <v>-25445035.893492904</v>
      </c>
      <c r="L35" s="138">
        <f>-'Assumptions Processing'!L50</f>
        <v>-8696404.6724595986</v>
      </c>
      <c r="M35" s="138">
        <f>-'Assumptions Processing'!M50</f>
        <v>0</v>
      </c>
      <c r="N35" s="138">
        <f>-'Assumptions Processing'!N50</f>
        <v>0</v>
      </c>
      <c r="O35" s="138">
        <f>-'Assumptions Processing'!O50</f>
        <v>0</v>
      </c>
      <c r="P35" s="138">
        <f>-'Assumptions Processing'!P50</f>
        <v>0</v>
      </c>
      <c r="Q35" s="138">
        <f>-'Assumptions Processing'!Q50</f>
        <v>0</v>
      </c>
      <c r="R35" s="138">
        <f>-'Assumptions Processing'!R50</f>
        <v>0</v>
      </c>
      <c r="S35" s="138">
        <f>-'Assumptions Processing'!S50</f>
        <v>0</v>
      </c>
      <c r="T35" s="138">
        <f>-'Assumptions Processing'!T50</f>
        <v>0</v>
      </c>
      <c r="U35" s="138">
        <f>-'Assumptions Processing'!U50</f>
        <v>0</v>
      </c>
      <c r="V35" s="138">
        <f>-'Assumptions Processing'!V50</f>
        <v>0</v>
      </c>
      <c r="W35" s="138">
        <f>-'Assumptions Processing'!W50</f>
        <v>0</v>
      </c>
      <c r="X35" s="138">
        <f>-'Assumptions Processing'!X50</f>
        <v>0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 s="77" customFormat="1" ht="18" customHeight="1">
      <c r="B36" s="124" t="s">
        <v>171</v>
      </c>
      <c r="C36" s="136"/>
      <c r="D36" s="133"/>
      <c r="E36" s="140">
        <f>SUM(E34:E35)</f>
        <v>-32500000</v>
      </c>
      <c r="F36" s="140">
        <f>-('Assumptions Processing'!F40+'Assumptions Processing'!F50)</f>
        <v>-75000000</v>
      </c>
      <c r="G36" s="140">
        <f>-('Assumptions Processing'!G40+'Assumptions Processing'!G50)</f>
        <v>-125000000</v>
      </c>
      <c r="H36" s="140">
        <f>-('Assumptions Processing'!H40+'Assumptions Processing'!H50)</f>
        <v>-139002139.76201221</v>
      </c>
      <c r="I36" s="140">
        <f>-('Assumptions Processing'!I40+'Assumptions Processing'!I50)</f>
        <v>-116264762.76274961</v>
      </c>
      <c r="J36" s="140">
        <f>-('Assumptions Processing'!J40+'Assumptions Processing'!J50)</f>
        <v>-91991648.809837431</v>
      </c>
      <c r="K36" s="140">
        <f>-('Assumptions Processing'!K40+'Assumptions Processing'!K50)</f>
        <v>-66074101.607298359</v>
      </c>
      <c r="L36" s="140">
        <f>-('Assumptions Processing'!L40+'Assumptions Processing'!L50)</f>
        <v>-38395437.288492516</v>
      </c>
      <c r="M36" s="140">
        <f>-('Assumptions Processing'!M40+'Assumptions Processing'!M50)</f>
        <v>-18222497.863371756</v>
      </c>
      <c r="N36" s="140">
        <f>-('Assumptions Processing'!N40+'Assumptions Processing'!N50)</f>
        <v>-6172136.3730775332</v>
      </c>
      <c r="O36" s="140">
        <f>-('Assumptions Processing'!O40+'Assumptions Processing'!O50)</f>
        <v>0</v>
      </c>
      <c r="P36" s="140">
        <f>-('Assumptions Processing'!P40+'Assumptions Processing'!P50)</f>
        <v>0</v>
      </c>
      <c r="Q36" s="140">
        <f>-('Assumptions Processing'!Q40+'Assumptions Processing'!Q50)</f>
        <v>0</v>
      </c>
      <c r="R36" s="140">
        <f>-('Assumptions Processing'!R40+'Assumptions Processing'!R50)</f>
        <v>0</v>
      </c>
      <c r="S36" s="140">
        <f>-('Assumptions Processing'!S40+'Assumptions Processing'!S50)</f>
        <v>0</v>
      </c>
      <c r="T36" s="140">
        <f>-('Assumptions Processing'!T40+'Assumptions Processing'!T50)</f>
        <v>0</v>
      </c>
      <c r="U36" s="140">
        <f>-('Assumptions Processing'!U40+'Assumptions Processing'!U50)</f>
        <v>0</v>
      </c>
      <c r="V36" s="140">
        <f>-('Assumptions Processing'!V40+'Assumptions Processing'!V50)</f>
        <v>0</v>
      </c>
      <c r="W36" s="140">
        <f>-('Assumptions Processing'!W40+'Assumptions Processing'!W50)</f>
        <v>0</v>
      </c>
      <c r="X36" s="140">
        <f>-('Assumptions Processing'!X40+'Assumptions Processing'!X50)</f>
        <v>0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 s="77" customFormat="1" ht="18" customHeight="1">
      <c r="B37" s="134"/>
      <c r="C37" s="90"/>
      <c r="D37" s="135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 s="77" customFormat="1" ht="18" customHeight="1">
      <c r="B38" s="149" t="s">
        <v>172</v>
      </c>
      <c r="C38" s="150"/>
      <c r="D38" s="151"/>
      <c r="E38" s="152">
        <f t="shared" ref="E38:X38" si="5">E22+E31-E36</f>
        <v>88150000</v>
      </c>
      <c r="F38" s="152">
        <f t="shared" si="5"/>
        <v>1100466666.6666667</v>
      </c>
      <c r="G38" s="152">
        <f t="shared" si="5"/>
        <v>2117633333.3333335</v>
      </c>
      <c r="H38" s="152">
        <f t="shared" si="5"/>
        <v>2701635473.0953455</v>
      </c>
      <c r="I38" s="152">
        <f t="shared" si="5"/>
        <v>2686231429.4294162</v>
      </c>
      <c r="J38" s="152">
        <f t="shared" si="5"/>
        <v>2671531648.8098373</v>
      </c>
      <c r="K38" s="152">
        <f t="shared" si="5"/>
        <v>2630798034.9406314</v>
      </c>
      <c r="L38" s="152">
        <f t="shared" si="5"/>
        <v>2192792959.9551597</v>
      </c>
      <c r="M38" s="152">
        <f t="shared" si="5"/>
        <v>1737670179.8033717</v>
      </c>
      <c r="N38" s="152">
        <f t="shared" si="5"/>
        <v>1689607432.3994775</v>
      </c>
      <c r="O38" s="152">
        <f t="shared" si="5"/>
        <v>1649094708.0535059</v>
      </c>
      <c r="P38" s="152">
        <f t="shared" si="5"/>
        <v>1616333244.5925581</v>
      </c>
      <c r="Q38" s="152">
        <f t="shared" si="5"/>
        <v>1585064109.1636789</v>
      </c>
      <c r="R38" s="152">
        <f t="shared" si="5"/>
        <v>1555205974.730032</v>
      </c>
      <c r="S38" s="152">
        <f t="shared" si="5"/>
        <v>1526682606.0597987</v>
      </c>
      <c r="T38" s="152">
        <f t="shared" si="5"/>
        <v>1470272509.6917024</v>
      </c>
      <c r="U38" s="152">
        <f t="shared" si="5"/>
        <v>1415058609.4150333</v>
      </c>
      <c r="V38" s="152">
        <f t="shared" si="5"/>
        <v>1390127945.336607</v>
      </c>
      <c r="W38" s="152">
        <f t="shared" si="5"/>
        <v>1366271394.7559323</v>
      </c>
      <c r="X38" s="152">
        <f t="shared" si="5"/>
        <v>1343433413.2070599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2:36" s="89" customFormat="1" ht="18" customHeight="1">
      <c r="B39" s="147" t="s">
        <v>173</v>
      </c>
      <c r="C39" s="132"/>
      <c r="D39" s="132"/>
      <c r="E39" s="148">
        <f t="shared" ref="E39:X39" si="6">E11-E38</f>
        <v>-88150000</v>
      </c>
      <c r="F39" s="148">
        <f t="shared" si="6"/>
        <v>179533333.33333325</v>
      </c>
      <c r="G39" s="148">
        <f t="shared" si="6"/>
        <v>314366666.66666651</v>
      </c>
      <c r="H39" s="148">
        <f t="shared" si="6"/>
        <v>763964526.9046545</v>
      </c>
      <c r="I39" s="148">
        <f t="shared" si="6"/>
        <v>606088570.57058334</v>
      </c>
      <c r="J39" s="148">
        <f t="shared" si="6"/>
        <v>456172351.19016266</v>
      </c>
      <c r="K39" s="148">
        <f t="shared" si="6"/>
        <v>340520765.05936813</v>
      </c>
      <c r="L39" s="148">
        <f t="shared" si="6"/>
        <v>629959900.04483986</v>
      </c>
      <c r="M39" s="148">
        <f t="shared" si="6"/>
        <v>943945037.19662833</v>
      </c>
      <c r="N39" s="148">
        <f t="shared" si="6"/>
        <v>857927023.75052214</v>
      </c>
      <c r="O39" s="148">
        <f t="shared" si="6"/>
        <v>771063025.28899384</v>
      </c>
      <c r="P39" s="148">
        <f t="shared" si="6"/>
        <v>682816602.08281684</v>
      </c>
      <c r="Q39" s="148">
        <f t="shared" si="6"/>
        <v>599128245.17792678</v>
      </c>
      <c r="R39" s="148">
        <f t="shared" si="6"/>
        <v>519776761.89449334</v>
      </c>
      <c r="S39" s="148">
        <f t="shared" si="6"/>
        <v>444550993.73350048</v>
      </c>
      <c r="T39" s="148">
        <f t="shared" si="6"/>
        <v>402399410.11193204</v>
      </c>
      <c r="U39" s="148">
        <f t="shared" si="6"/>
        <v>363979714.39841938</v>
      </c>
      <c r="V39" s="148">
        <f t="shared" si="6"/>
        <v>299958462.28617287</v>
      </c>
      <c r="W39" s="148">
        <f t="shared" si="6"/>
        <v>239310692.48570871</v>
      </c>
      <c r="X39" s="148">
        <f t="shared" si="6"/>
        <v>181869569.67249918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2:36" s="77" customFormat="1" ht="18" customHeight="1">
      <c r="B40" s="83"/>
      <c r="C40" s="90"/>
      <c r="D40" s="85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 s="77" customFormat="1" ht="18" customHeight="1">
      <c r="B41" s="134" t="s">
        <v>174</v>
      </c>
      <c r="C41" s="90"/>
      <c r="D41" s="135"/>
      <c r="E41" s="142">
        <f>IF((E39)&lt;=0,0,(E39)*'Control Panel'!$C$70)</f>
        <v>0</v>
      </c>
      <c r="F41" s="142">
        <f>IF((F39)&lt;=0,0,(F39)*'Control Panel'!$C$70)</f>
        <v>37701999.999999985</v>
      </c>
      <c r="G41" s="142">
        <f>IF((G39)&lt;=0,0,(G39)*'Control Panel'!$C$70)</f>
        <v>66016999.999999963</v>
      </c>
      <c r="H41" s="142">
        <f>IF((H39)&lt;=0,0,(H39)*'Control Panel'!$C$70)</f>
        <v>160432550.64997745</v>
      </c>
      <c r="I41" s="142">
        <f>IF((I39)&lt;=0,0,(I39)*'Control Panel'!$C$70)</f>
        <v>127278599.81982249</v>
      </c>
      <c r="J41" s="142">
        <f>IF((J39)&lt;=0,0,(J39)*'Control Panel'!$C$70)</f>
        <v>95796193.749934152</v>
      </c>
      <c r="K41" s="142">
        <f>IF((K39)&lt;=0,0,(K39)*'Control Panel'!$C$70)</f>
        <v>71509360.662467301</v>
      </c>
      <c r="L41" s="142">
        <f>IF((L39)&lt;=0,0,(L39)*'Control Panel'!$C$70)</f>
        <v>132291579.00941637</v>
      </c>
      <c r="M41" s="142">
        <f>IF((M39)&lt;=0,0,(M39)*'Control Panel'!$C$70)</f>
        <v>198228457.81129193</v>
      </c>
      <c r="N41" s="142">
        <f>IF((N39)&lt;=0,0,(N39)*'Control Panel'!$C$70)</f>
        <v>180164674.98760965</v>
      </c>
      <c r="O41" s="142">
        <f>IF((O39)&lt;=0,0,(O39)*'Control Panel'!$C$70)</f>
        <v>161923235.3106887</v>
      </c>
      <c r="P41" s="142">
        <f>IF((P39)&lt;=0,0,(P39)*'Control Panel'!$C$70)</f>
        <v>143391486.43739152</v>
      </c>
      <c r="Q41" s="142">
        <f>IF((Q39)&lt;=0,0,(Q39)*'Control Panel'!$C$70)</f>
        <v>125816931.48736462</v>
      </c>
      <c r="R41" s="142">
        <f>IF((R39)&lt;=0,0,(R39)*'Control Panel'!$C$70)</f>
        <v>109153119.99784359</v>
      </c>
      <c r="S41" s="142">
        <f>IF((S39)&lt;=0,0,(S39)*'Control Panel'!$C$70)</f>
        <v>93355708.684035093</v>
      </c>
      <c r="T41" s="142">
        <f>IF((T39)&lt;=0,0,(T39)*'Control Panel'!$C$70)</f>
        <v>84503876.123505726</v>
      </c>
      <c r="U41" s="142">
        <f>IF((U39)&lt;=0,0,(U39)*'Control Panel'!$C$70)</f>
        <v>76435740.023668066</v>
      </c>
      <c r="V41" s="142">
        <f>IF((V39)&lt;=0,0,(V39)*'Control Panel'!$C$70)</f>
        <v>62991277.080096297</v>
      </c>
      <c r="W41" s="142">
        <f>IF((W39)&lt;=0,0,(W39)*'Control Panel'!$C$70)</f>
        <v>50255245.421998829</v>
      </c>
      <c r="X41" s="142">
        <f>IF((X39)&lt;=0,0,(X39)*'Control Panel'!$C$70)</f>
        <v>38192609.631224826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2:36" s="77" customFormat="1" ht="18" customHeight="1" thickBot="1">
      <c r="B42" s="153" t="s">
        <v>175</v>
      </c>
      <c r="C42" s="153"/>
      <c r="D42" s="154"/>
      <c r="E42" s="154">
        <f>E39-E41</f>
        <v>-88150000</v>
      </c>
      <c r="F42" s="154">
        <f t="shared" ref="F42:X42" si="7">F39-F41</f>
        <v>141831333.33333325</v>
      </c>
      <c r="G42" s="154">
        <f t="shared" si="7"/>
        <v>248349666.66666654</v>
      </c>
      <c r="H42" s="154">
        <f t="shared" si="7"/>
        <v>603531976.25467706</v>
      </c>
      <c r="I42" s="154">
        <f t="shared" si="7"/>
        <v>478809970.75076085</v>
      </c>
      <c r="J42" s="154">
        <f t="shared" si="7"/>
        <v>360376157.44022852</v>
      </c>
      <c r="K42" s="154">
        <f t="shared" si="7"/>
        <v>269011404.39690083</v>
      </c>
      <c r="L42" s="154">
        <f t="shared" si="7"/>
        <v>497668321.03542352</v>
      </c>
      <c r="M42" s="154">
        <f t="shared" si="7"/>
        <v>745716579.3853364</v>
      </c>
      <c r="N42" s="154">
        <f t="shared" si="7"/>
        <v>677762348.76291251</v>
      </c>
      <c r="O42" s="154">
        <f t="shared" si="7"/>
        <v>609139789.9783051</v>
      </c>
      <c r="P42" s="154">
        <f t="shared" si="7"/>
        <v>539425115.64542532</v>
      </c>
      <c r="Q42" s="154">
        <f t="shared" si="7"/>
        <v>473311313.69056213</v>
      </c>
      <c r="R42" s="154">
        <f t="shared" si="7"/>
        <v>410623641.89664972</v>
      </c>
      <c r="S42" s="154">
        <f t="shared" si="7"/>
        <v>351195285.04946542</v>
      </c>
      <c r="T42" s="154">
        <f t="shared" si="7"/>
        <v>317895533.98842633</v>
      </c>
      <c r="U42" s="154">
        <f t="shared" si="7"/>
        <v>287543974.37475133</v>
      </c>
      <c r="V42" s="154">
        <f t="shared" si="7"/>
        <v>236967185.20607656</v>
      </c>
      <c r="W42" s="154">
        <f t="shared" si="7"/>
        <v>189055447.06370988</v>
      </c>
      <c r="X42" s="154">
        <f t="shared" si="7"/>
        <v>143676960.04127437</v>
      </c>
      <c r="Y42"/>
      <c r="Z42"/>
      <c r="AA42"/>
      <c r="AB42"/>
      <c r="AC42"/>
      <c r="AD42"/>
      <c r="AE42"/>
      <c r="AF42"/>
      <c r="AG42"/>
      <c r="AH42" s="2"/>
      <c r="AI42" s="2"/>
      <c r="AJ42" s="2"/>
    </row>
    <row r="43" spans="2:36" s="77" customFormat="1" ht="18" customHeight="1" thickTop="1">
      <c r="B43" s="74"/>
      <c r="C43" s="72"/>
      <c r="D43" s="72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 s="77" customFormat="1" ht="18" customHeight="1">
      <c r="B44" s="74" t="s">
        <v>176</v>
      </c>
      <c r="C44" s="84"/>
      <c r="D44" s="72"/>
      <c r="E44" s="138">
        <f>'Control Panel'!C98</f>
        <v>0</v>
      </c>
      <c r="F44" s="138">
        <f>'Control Panel'!D98</f>
        <v>0</v>
      </c>
      <c r="G44" s="138">
        <f>'Control Panel'!E98</f>
        <v>0</v>
      </c>
      <c r="H44" s="138">
        <f>'Control Panel'!F98</f>
        <v>0</v>
      </c>
      <c r="I44" s="138">
        <f>'Control Panel'!G98</f>
        <v>4656144562.9905882</v>
      </c>
      <c r="J44" s="138">
        <f>'Control Panel'!H98</f>
        <v>663325771.23918605</v>
      </c>
      <c r="K44" s="138">
        <f>'Control Panel'!I98</f>
        <v>564016330.49850166</v>
      </c>
      <c r="L44" s="138">
        <f>'Control Panel'!J98</f>
        <v>384823622.08381671</v>
      </c>
      <c r="M44" s="138">
        <f>'Control Panel'!K98</f>
        <v>571622221.99111867</v>
      </c>
      <c r="N44" s="138">
        <f>'Control Panel'!L98</f>
        <v>620791985.87939489</v>
      </c>
      <c r="O44" s="138">
        <f>'Control Panel'!M98</f>
        <v>675192801.21452236</v>
      </c>
      <c r="P44" s="138">
        <f>'Control Panel'!N98</f>
        <v>605078984.24594021</v>
      </c>
      <c r="Q44" s="138">
        <f>'Control Panel'!O98</f>
        <v>538585343.4326365</v>
      </c>
      <c r="R44" s="138">
        <f>'Control Panel'!P98</f>
        <v>475536265.50360262</v>
      </c>
      <c r="S44" s="138">
        <f>'Control Panel'!Q98</f>
        <v>415764099.06288159</v>
      </c>
      <c r="T44" s="138">
        <f>'Control Panel'!R98</f>
        <v>352987332.62355721</v>
      </c>
      <c r="U44" s="138">
        <f>'Control Panel'!S98</f>
        <v>293174782.35087752</v>
      </c>
      <c r="V44" s="138">
        <f>'Control Panel'!T98</f>
        <v>242302289.54876387</v>
      </c>
      <c r="W44" s="138">
        <f>'Control Panel'!U98</f>
        <v>194109427.88041532</v>
      </c>
      <c r="X44" s="138">
        <f>'Control Panel'!V98</f>
        <v>148463720.27570868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 s="77" customFormat="1" ht="18" customHeight="1">
      <c r="B45" s="131" t="s">
        <v>177</v>
      </c>
      <c r="C45" s="125"/>
      <c r="D45" s="125"/>
      <c r="E45" s="140">
        <f t="shared" ref="E45:L45" si="8">E42-E44</f>
        <v>-88150000</v>
      </c>
      <c r="F45" s="140">
        <f t="shared" si="8"/>
        <v>141831333.33333325</v>
      </c>
      <c r="G45" s="140">
        <f t="shared" si="8"/>
        <v>248349666.66666654</v>
      </c>
      <c r="H45" s="140">
        <f t="shared" si="8"/>
        <v>603531976.25467706</v>
      </c>
      <c r="I45" s="140">
        <f t="shared" si="8"/>
        <v>-4177334592.2398272</v>
      </c>
      <c r="J45" s="140">
        <f t="shared" si="8"/>
        <v>-302949613.79895753</v>
      </c>
      <c r="K45" s="140">
        <f t="shared" si="8"/>
        <v>-295004926.10160083</v>
      </c>
      <c r="L45" s="140">
        <f t="shared" si="8"/>
        <v>112844698.95160681</v>
      </c>
      <c r="M45" s="140">
        <f>M42-M44</f>
        <v>174094357.39421773</v>
      </c>
      <c r="N45" s="140">
        <f>N42-N44</f>
        <v>56970362.883517623</v>
      </c>
      <c r="O45" s="140">
        <f>O42-O44</f>
        <v>-66053011.23621726</v>
      </c>
      <c r="P45" s="140">
        <f>P42-P44</f>
        <v>-65653868.600514889</v>
      </c>
      <c r="Q45" s="140">
        <f t="shared" ref="Q45:X45" si="9">Q42-Q44</f>
        <v>-65274029.74207437</v>
      </c>
      <c r="R45" s="140">
        <f t="shared" si="9"/>
        <v>-64912623.606952906</v>
      </c>
      <c r="S45" s="140">
        <f t="shared" si="9"/>
        <v>-64568814.013416171</v>
      </c>
      <c r="T45" s="140">
        <f t="shared" si="9"/>
        <v>-35091798.635130882</v>
      </c>
      <c r="U45" s="140">
        <f t="shared" si="9"/>
        <v>-5630807.976126194</v>
      </c>
      <c r="V45" s="140">
        <f t="shared" si="9"/>
        <v>-5335104.3426873088</v>
      </c>
      <c r="W45" s="140">
        <f t="shared" si="9"/>
        <v>-5053980.8167054355</v>
      </c>
      <c r="X45" s="140">
        <f t="shared" si="9"/>
        <v>-4786760.2344343066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 ht="18" customHeight="1"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36" ht="18" customHeight="1"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36" ht="18" customHeight="1"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5:24" ht="18" customHeight="1"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5:24" ht="18" customHeight="1"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5:24" ht="18" customHeight="1"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5:24" ht="18" customHeight="1"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5:24" ht="18" customHeight="1"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5:24" ht="18" customHeight="1"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5:24" ht="18" customHeight="1"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</row>
    <row r="56" spans="5:24" ht="18" customHeight="1"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5:24" ht="18" customHeight="1"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5:24" ht="18" customHeight="1"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5:24" ht="18" customHeight="1"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5:24" ht="18" customHeight="1"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5:24" ht="18" customHeight="1"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5:24" ht="18" customHeight="1"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5:24" ht="18" customHeight="1"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5:24" ht="18" customHeight="1"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5:24" ht="18" customHeight="1"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5:24" ht="18" customHeight="1"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5:24" ht="18" customHeight="1"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5:24" ht="18" customHeight="1"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</row>
    <row r="69" spans="5:24" ht="18" customHeight="1"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5:24" ht="18" customHeight="1"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5:24" ht="18" customHeight="1"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5:24" ht="18" customHeight="1"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5:24" ht="18" customHeight="1"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5:24" ht="18" customHeight="1"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5:24" ht="18" customHeight="1"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5:24"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5:24"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5:24"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5:24"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5:24"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5:24"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5:24"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5:24"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5:24"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5:24"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5:24"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</sheetData>
  <phoneticPr fontId="0" type="noConversion"/>
  <printOptions horizontalCentered="1" gridLinesSet="0"/>
  <pageMargins left="0.2" right="0.17" top="1" bottom="1" header="0.5" footer="0.5"/>
  <pageSetup paperSize="9" orientation="landscape" horizontalDpi="300" verticalDpi="300" r:id="rId1"/>
  <headerFooter alignWithMargins="0">
    <oddHeader>&amp;C&amp;"Times New Roman,Bold"&amp;16Income Statement</oddHeader>
    <oddFooter>&amp;L&amp;D &amp;T&amp;R&amp;F</oddFooter>
  </headerFooter>
  <ignoredErrors>
    <ignoredError sqref="F16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1D7C-8202-456F-AD34-A66C96652C72}">
  <sheetPr codeName="Sheet6">
    <tabColor theme="4"/>
  </sheetPr>
  <dimension ref="A1:AJ138"/>
  <sheetViews>
    <sheetView showGridLines="0" zoomScale="70" zoomScaleNormal="70" zoomScaleSheetLayoutView="75" workbookViewId="0">
      <pane xSplit="3" ySplit="5" topLeftCell="D13" activePane="bottomRight" state="frozen"/>
      <selection pane="bottomRight" activeCell="D29" sqref="D29"/>
      <selection pane="bottomLeft" activeCell="A6" sqref="A6"/>
      <selection pane="topRight" activeCell="D1" sqref="D1"/>
    </sheetView>
  </sheetViews>
  <sheetFormatPr defaultColWidth="8.7109375" defaultRowHeight="15.6"/>
  <cols>
    <col min="1" max="1" width="3.7109375" style="2" customWidth="1"/>
    <col min="2" max="2" width="73.7109375" style="2" bestFit="1" customWidth="1"/>
    <col min="3" max="3" width="12.140625" style="2" customWidth="1"/>
    <col min="4" max="23" width="18.7109375" style="2" customWidth="1"/>
    <col min="24" max="16384" width="8.7109375" style="2"/>
  </cols>
  <sheetData>
    <row r="1" spans="1:36" s="126" customFormat="1" ht="21">
      <c r="A1" s="188" t="s">
        <v>178</v>
      </c>
    </row>
    <row r="2" spans="1:36" s="190" customFormat="1">
      <c r="A2" s="189" t="s">
        <v>179</v>
      </c>
    </row>
    <row r="4" spans="1:36" s="127" customFormat="1" ht="18" customHeight="1">
      <c r="B4" s="128" t="s">
        <v>41</v>
      </c>
      <c r="C4" s="129"/>
      <c r="D4" s="106">
        <f>'Assumptions Processing'!E2</f>
        <v>1</v>
      </c>
      <c r="E4" s="106">
        <f t="shared" ref="E4:K4" si="0">D4+1</f>
        <v>2</v>
      </c>
      <c r="F4" s="106">
        <f t="shared" si="0"/>
        <v>3</v>
      </c>
      <c r="G4" s="106">
        <f t="shared" si="0"/>
        <v>4</v>
      </c>
      <c r="H4" s="106">
        <f t="shared" si="0"/>
        <v>5</v>
      </c>
      <c r="I4" s="106">
        <f t="shared" si="0"/>
        <v>6</v>
      </c>
      <c r="J4" s="106">
        <f t="shared" si="0"/>
        <v>7</v>
      </c>
      <c r="K4" s="106">
        <f t="shared" si="0"/>
        <v>8</v>
      </c>
      <c r="L4" s="106">
        <f>K4+1</f>
        <v>9</v>
      </c>
      <c r="M4" s="106">
        <f>L4+1</f>
        <v>10</v>
      </c>
      <c r="N4" s="106">
        <f>M4+1</f>
        <v>11</v>
      </c>
      <c r="O4" s="106">
        <f>N4+1</f>
        <v>12</v>
      </c>
      <c r="P4" s="106">
        <f t="shared" ref="P4:W4" si="1">O4+1</f>
        <v>13</v>
      </c>
      <c r="Q4" s="106">
        <f t="shared" si="1"/>
        <v>14</v>
      </c>
      <c r="R4" s="106">
        <f t="shared" si="1"/>
        <v>15</v>
      </c>
      <c r="S4" s="106">
        <f t="shared" si="1"/>
        <v>16</v>
      </c>
      <c r="T4" s="106">
        <f t="shared" si="1"/>
        <v>17</v>
      </c>
      <c r="U4" s="106">
        <f t="shared" si="1"/>
        <v>18</v>
      </c>
      <c r="V4" s="106">
        <f t="shared" si="1"/>
        <v>19</v>
      </c>
      <c r="W4" s="106">
        <f t="shared" si="1"/>
        <v>20</v>
      </c>
      <c r="X4" s="106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</row>
    <row r="5" spans="1:36" s="92" customFormat="1" ht="18" customHeight="1">
      <c r="B5" s="241"/>
      <c r="C5" s="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s="92" customFormat="1" ht="18" customHeight="1">
      <c r="B6" s="241"/>
      <c r="C6" s="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s="92" customFormat="1" ht="18" customHeight="1">
      <c r="B7" s="202" t="s">
        <v>180</v>
      </c>
      <c r="C7" s="202"/>
      <c r="D7" s="202"/>
      <c r="E7" s="202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 s="92" customFormat="1" ht="18" customHeight="1">
      <c r="B8" s="80" t="s">
        <v>181</v>
      </c>
      <c r="C8" s="203"/>
      <c r="D8" s="211">
        <f>'Income Statement'!E42</f>
        <v>-88150000</v>
      </c>
      <c r="E8" s="211">
        <f>'Income Statement'!F42</f>
        <v>141831333.33333325</v>
      </c>
      <c r="F8" s="211">
        <f>'Income Statement'!G42</f>
        <v>248349666.66666654</v>
      </c>
      <c r="G8" s="211">
        <f>'Income Statement'!H42</f>
        <v>603531976.25467706</v>
      </c>
      <c r="H8" s="211">
        <f>'Income Statement'!I42</f>
        <v>478809970.75076085</v>
      </c>
      <c r="I8" s="211">
        <f>'Income Statement'!J42</f>
        <v>360376157.44022852</v>
      </c>
      <c r="J8" s="211">
        <f>'Income Statement'!K42</f>
        <v>269011404.39690083</v>
      </c>
      <c r="K8" s="211">
        <f>'Income Statement'!L42</f>
        <v>497668321.03542352</v>
      </c>
      <c r="L8" s="211">
        <f>'Income Statement'!M42</f>
        <v>745716579.3853364</v>
      </c>
      <c r="M8" s="211">
        <f>'Income Statement'!N42</f>
        <v>677762348.76291251</v>
      </c>
      <c r="N8" s="211">
        <f>'Income Statement'!O42</f>
        <v>609139789.9783051</v>
      </c>
      <c r="O8" s="211">
        <f>'Income Statement'!P42</f>
        <v>539425115.64542532</v>
      </c>
      <c r="P8" s="211">
        <f>'Income Statement'!Q42</f>
        <v>473311313.69056213</v>
      </c>
      <c r="Q8" s="211">
        <f>'Income Statement'!R42</f>
        <v>410623641.89664972</v>
      </c>
      <c r="R8" s="211">
        <f>'Income Statement'!S42</f>
        <v>351195285.04946542</v>
      </c>
      <c r="S8" s="211">
        <f>'Income Statement'!T42</f>
        <v>317895533.98842633</v>
      </c>
      <c r="T8" s="211">
        <f>'Income Statement'!U42</f>
        <v>287543974.37475133</v>
      </c>
      <c r="U8" s="211">
        <f>'Income Statement'!V42</f>
        <v>236967185.20607656</v>
      </c>
      <c r="V8" s="211">
        <f>'Income Statement'!W42</f>
        <v>189055447.06370988</v>
      </c>
      <c r="W8" s="211">
        <f>'Income Statement'!X42</f>
        <v>143676960.04127437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 s="92" customFormat="1" ht="18" customHeight="1">
      <c r="B9" s="175" t="s">
        <v>182</v>
      </c>
      <c r="C9" s="203"/>
      <c r="D9" s="211">
        <f>'Income Statement'!E31</f>
        <v>55650000</v>
      </c>
      <c r="E9" s="211">
        <f>'Income Statement'!F31</f>
        <v>508800000</v>
      </c>
      <c r="F9" s="211">
        <f>'Income Statement'!G31</f>
        <v>959300000</v>
      </c>
      <c r="G9" s="211">
        <f>'Income Statement'!H31</f>
        <v>1012633333.3333334</v>
      </c>
      <c r="H9" s="211">
        <f>'Income Statement'!I31</f>
        <v>1065966666.6666666</v>
      </c>
      <c r="I9" s="211">
        <f>'Income Statement'!J31</f>
        <v>1119300000</v>
      </c>
      <c r="J9" s="211">
        <f>'Income Statement'!K31</f>
        <v>1146133333.3333333</v>
      </c>
      <c r="K9" s="211">
        <f>'Income Statement'!L31</f>
        <v>775466666.66666675</v>
      </c>
      <c r="L9" s="211">
        <f>'Income Statement'!M31</f>
        <v>378300000</v>
      </c>
      <c r="M9" s="211">
        <f>'Income Statement'!N31</f>
        <v>378300000</v>
      </c>
      <c r="N9" s="211">
        <f>'Income Statement'!O31</f>
        <v>378300000</v>
      </c>
      <c r="O9" s="211">
        <f>'Income Statement'!P31</f>
        <v>378300000</v>
      </c>
      <c r="P9" s="211">
        <f>'Income Statement'!Q31</f>
        <v>378300000</v>
      </c>
      <c r="Q9" s="211">
        <f>'Income Statement'!R31</f>
        <v>378300000</v>
      </c>
      <c r="R9" s="211">
        <f>'Income Statement'!S31</f>
        <v>378300000</v>
      </c>
      <c r="S9" s="211">
        <f>'Income Statement'!T31</f>
        <v>349150000</v>
      </c>
      <c r="T9" s="211">
        <f>'Income Statement'!U31</f>
        <v>320000000</v>
      </c>
      <c r="U9" s="211">
        <f>'Income Statement'!V31</f>
        <v>320000000</v>
      </c>
      <c r="V9" s="211">
        <f>'Income Statement'!W31</f>
        <v>320000000</v>
      </c>
      <c r="W9" s="211">
        <f>'Income Statement'!X31</f>
        <v>320000000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s="92" customFormat="1" ht="18" customHeight="1">
      <c r="B10" s="80" t="s">
        <v>183</v>
      </c>
      <c r="C10" s="74"/>
      <c r="D10" s="212">
        <f>-('Balance Sheet'!D12-'Balance Sheet'!C12)</f>
        <v>0</v>
      </c>
      <c r="E10" s="212">
        <f>-('Balance Sheet'!E12-'Balance Sheet'!D12)</f>
        <v>-106666666.66666667</v>
      </c>
      <c r="F10" s="212">
        <f>-('Balance Sheet'!F12-'Balance Sheet'!E12)</f>
        <v>-96000000.000000015</v>
      </c>
      <c r="G10" s="212">
        <f>-('Balance Sheet'!G12-'Balance Sheet'!F12)</f>
        <v>-86133333.333333313</v>
      </c>
      <c r="H10" s="212">
        <f>-('Balance Sheet'!H12-'Balance Sheet'!G12)</f>
        <v>14440000.00000006</v>
      </c>
      <c r="I10" s="212">
        <f>-('Balance Sheet'!I12-'Balance Sheet'!H12)</f>
        <v>13717999.99999997</v>
      </c>
      <c r="J10" s="212">
        <f>-('Balance Sheet'!J12-'Balance Sheet'!I12)</f>
        <v>13032100</v>
      </c>
      <c r="K10" s="212">
        <f>-('Balance Sheet'!K12-'Balance Sheet'!J12)</f>
        <v>12380495.00000003</v>
      </c>
      <c r="L10" s="212">
        <f>-('Balance Sheet'!L12-'Balance Sheet'!K12)</f>
        <v>11761470.24999994</v>
      </c>
      <c r="M10" s="212">
        <f>-('Balance Sheet'!M12-'Balance Sheet'!L12)</f>
        <v>11173396.737500012</v>
      </c>
      <c r="N10" s="212">
        <f>-('Balance Sheet'!N12-'Balance Sheet'!M12)</f>
        <v>10614726.90062502</v>
      </c>
      <c r="O10" s="212">
        <f>-('Balance Sheet'!O12-'Balance Sheet'!N12)</f>
        <v>10083990.555593699</v>
      </c>
      <c r="P10" s="212">
        <f>-('Balance Sheet'!P12-'Balance Sheet'!O12)</f>
        <v>9579791.0278141201</v>
      </c>
      <c r="Q10" s="212">
        <f>-('Balance Sheet'!Q12-'Balance Sheet'!P12)</f>
        <v>9100801.4764233828</v>
      </c>
      <c r="R10" s="212">
        <f>-('Balance Sheet'!R12-'Balance Sheet'!Q12)</f>
        <v>8645761.4026021659</v>
      </c>
      <c r="S10" s="212">
        <f>-('Balance Sheet'!S12-'Balance Sheet'!R12)</f>
        <v>8213473.332472086</v>
      </c>
      <c r="T10" s="212">
        <f>-('Balance Sheet'!T12-'Balance Sheet'!S12)</f>
        <v>7802799.6658484638</v>
      </c>
      <c r="U10" s="212">
        <f>-('Balance Sheet'!U12-'Balance Sheet'!T12)</f>
        <v>7412659.6825560629</v>
      </c>
      <c r="V10" s="212">
        <f>-('Balance Sheet'!V12-'Balance Sheet'!U12)</f>
        <v>7042026.6984282285</v>
      </c>
      <c r="W10" s="212">
        <f>-('Balance Sheet'!W12-'Balance Sheet'!V12)</f>
        <v>6689925.3635068238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 s="92" customFormat="1" ht="18" customHeight="1">
      <c r="B11" s="80" t="s">
        <v>184</v>
      </c>
      <c r="C11" s="74"/>
      <c r="D11" s="212">
        <f>'Balance Sheet'!D13-'Balance Sheet'!C13</f>
        <v>0</v>
      </c>
      <c r="E11" s="212">
        <f>'Balance Sheet'!E13-'Balance Sheet'!D13</f>
        <v>0</v>
      </c>
      <c r="F11" s="212">
        <f>'Balance Sheet'!F13-'Balance Sheet'!E13</f>
        <v>0</v>
      </c>
      <c r="G11" s="212">
        <f>'Balance Sheet'!G13-'Balance Sheet'!F13</f>
        <v>0</v>
      </c>
      <c r="H11" s="212">
        <f>'Balance Sheet'!H13-'Balance Sheet'!G13</f>
        <v>0</v>
      </c>
      <c r="I11" s="212">
        <f>'Balance Sheet'!I13-'Balance Sheet'!H13</f>
        <v>0</v>
      </c>
      <c r="J11" s="212">
        <f>'Balance Sheet'!J13-'Balance Sheet'!I13</f>
        <v>0</v>
      </c>
      <c r="K11" s="212">
        <f>'Balance Sheet'!K13-'Balance Sheet'!J13</f>
        <v>0</v>
      </c>
      <c r="L11" s="212">
        <f>'Balance Sheet'!L13-'Balance Sheet'!K13</f>
        <v>0</v>
      </c>
      <c r="M11" s="212">
        <f>'Balance Sheet'!M13-'Balance Sheet'!L13</f>
        <v>0</v>
      </c>
      <c r="N11" s="212">
        <f>'Balance Sheet'!N13-'Balance Sheet'!M13</f>
        <v>0</v>
      </c>
      <c r="O11" s="212">
        <f>'Balance Sheet'!O13-'Balance Sheet'!N13</f>
        <v>0</v>
      </c>
      <c r="P11" s="212">
        <f>'Balance Sheet'!P13-'Balance Sheet'!O13</f>
        <v>0</v>
      </c>
      <c r="Q11" s="212">
        <f>'Balance Sheet'!Q13-'Balance Sheet'!P13</f>
        <v>0</v>
      </c>
      <c r="R11" s="212">
        <f>'Balance Sheet'!R13-'Balance Sheet'!Q13</f>
        <v>0</v>
      </c>
      <c r="S11" s="212">
        <f>'Balance Sheet'!S13-'Balance Sheet'!R13</f>
        <v>0</v>
      </c>
      <c r="T11" s="212">
        <f>'Balance Sheet'!T13-'Balance Sheet'!S13</f>
        <v>0</v>
      </c>
      <c r="U11" s="212">
        <f>'Balance Sheet'!U13-'Balance Sheet'!T13</f>
        <v>0</v>
      </c>
      <c r="V11" s="212">
        <f>'Balance Sheet'!V13-'Balance Sheet'!U13</f>
        <v>0</v>
      </c>
      <c r="W11" s="212">
        <f>'Balance Sheet'!W13-'Balance Sheet'!V13</f>
        <v>0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 s="92" customFormat="1" ht="18" customHeight="1">
      <c r="B12" s="80" t="s">
        <v>185</v>
      </c>
      <c r="C12" s="74"/>
      <c r="D12" s="212">
        <f>('Balance Sheet'!D34-'Balance Sheet'!C34)</f>
        <v>0</v>
      </c>
      <c r="E12" s="212">
        <f>('Balance Sheet'!E34-'Balance Sheet'!D34)</f>
        <v>43055555.555555552</v>
      </c>
      <c r="F12" s="212">
        <f>('Balance Sheet'!F34-'Balance Sheet'!E34)</f>
        <v>43055555.555555552</v>
      </c>
      <c r="G12" s="212">
        <f>('Balance Sheet'!G34-'Balance Sheet'!F34)</f>
        <v>43055555.555555582</v>
      </c>
      <c r="H12" s="212">
        <f>('Balance Sheet'!H34-'Balance Sheet'!G34)</f>
        <v>-3833333.3333333433</v>
      </c>
      <c r="I12" s="212">
        <f>('Balance Sheet'!I34-'Balance Sheet'!H34)</f>
        <v>-3646666.6666666865</v>
      </c>
      <c r="J12" s="212">
        <f>('Balance Sheet'!J34-'Balance Sheet'!I34)</f>
        <v>-3470783.3333333284</v>
      </c>
      <c r="K12" s="212">
        <f>('Balance Sheet'!K34-'Balance Sheet'!J34)</f>
        <v>-3304978.6666666567</v>
      </c>
      <c r="L12" s="212">
        <f>('Balance Sheet'!L34-'Balance Sheet'!K34)</f>
        <v>-3148597.8383333534</v>
      </c>
      <c r="M12" s="212">
        <f>('Balance Sheet'!M34-'Balance Sheet'!L34)</f>
        <v>-3001032.159466669</v>
      </c>
      <c r="N12" s="212">
        <f>('Balance Sheet'!N34-'Balance Sheet'!M34)</f>
        <v>-2861715.6644078195</v>
      </c>
      <c r="O12" s="212">
        <f>('Balance Sheet'!O34-'Balance Sheet'!N34)</f>
        <v>-2730121.9550789893</v>
      </c>
      <c r="P12" s="212">
        <f>('Balance Sheet'!P34-'Balance Sheet'!O34)</f>
        <v>-2605761.2857399285</v>
      </c>
      <c r="Q12" s="212">
        <f>('Balance Sheet'!Q34-'Balance Sheet'!P34)</f>
        <v>-2488177.8694705814</v>
      </c>
      <c r="R12" s="212">
        <f>('Balance Sheet'!R34-'Balance Sheet'!Q34)</f>
        <v>-2376947.3891860992</v>
      </c>
      <c r="S12" s="212">
        <f>('Balance Sheet'!S34-'Balance Sheet'!R34)</f>
        <v>-2271674.6973413676</v>
      </c>
      <c r="T12" s="212">
        <f>('Balance Sheet'!T34-'Balance Sheet'!S34)</f>
        <v>-2171991.6897224188</v>
      </c>
      <c r="U12" s="212">
        <f>('Balance Sheet'!U34-'Balance Sheet'!T34)</f>
        <v>-2077555.3398688734</v>
      </c>
      <c r="V12" s="212">
        <f>('Balance Sheet'!V34-'Balance Sheet'!U34)</f>
        <v>-1988045.8817228824</v>
      </c>
      <c r="W12" s="212">
        <f>('Balance Sheet'!W34-'Balance Sheet'!V34)</f>
        <v>-1903165.129072696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s="92" customFormat="1" ht="18" customHeight="1">
      <c r="B13" s="204" t="s">
        <v>186</v>
      </c>
      <c r="C13" s="204"/>
      <c r="D13" s="208">
        <f>SUM(D8:D12)</f>
        <v>-32500000</v>
      </c>
      <c r="E13" s="208">
        <f>SUM(E8:E12)</f>
        <v>587020222.22222221</v>
      </c>
      <c r="F13" s="208">
        <f t="shared" ref="F13:W13" si="2">SUM(F8:F12)</f>
        <v>1154705222.2222221</v>
      </c>
      <c r="G13" s="208">
        <f t="shared" si="2"/>
        <v>1573087531.8102326</v>
      </c>
      <c r="H13" s="208">
        <f t="shared" si="2"/>
        <v>1555383304.0840943</v>
      </c>
      <c r="I13" s="208">
        <f t="shared" si="2"/>
        <v>1489747490.7735617</v>
      </c>
      <c r="J13" s="208">
        <f t="shared" si="2"/>
        <v>1424706054.3969009</v>
      </c>
      <c r="K13" s="208">
        <f t="shared" si="2"/>
        <v>1282210504.0354235</v>
      </c>
      <c r="L13" s="208">
        <f t="shared" si="2"/>
        <v>1132629451.797003</v>
      </c>
      <c r="M13" s="208">
        <f t="shared" si="2"/>
        <v>1064234713.3409458</v>
      </c>
      <c r="N13" s="208">
        <f t="shared" si="2"/>
        <v>995192801.21452224</v>
      </c>
      <c r="O13" s="208">
        <f t="shared" si="2"/>
        <v>925078984.24594009</v>
      </c>
      <c r="P13" s="208">
        <f t="shared" si="2"/>
        <v>858585343.43263638</v>
      </c>
      <c r="Q13" s="208">
        <f t="shared" si="2"/>
        <v>795536265.5036025</v>
      </c>
      <c r="R13" s="208">
        <f t="shared" si="2"/>
        <v>735764099.06288147</v>
      </c>
      <c r="S13" s="208">
        <f t="shared" si="2"/>
        <v>672987332.62355709</v>
      </c>
      <c r="T13" s="208">
        <f t="shared" si="2"/>
        <v>613174782.3508774</v>
      </c>
      <c r="U13" s="208">
        <f t="shared" si="2"/>
        <v>562302289.54876375</v>
      </c>
      <c r="V13" s="208">
        <f t="shared" si="2"/>
        <v>514109427.8804152</v>
      </c>
      <c r="W13" s="208">
        <f t="shared" si="2"/>
        <v>468463720.27570856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s="92" customFormat="1" ht="18" customHeight="1">
      <c r="B14" s="205"/>
      <c r="C14" s="205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s="92" customFormat="1" ht="18" customHeight="1">
      <c r="B15" s="202" t="s">
        <v>187</v>
      </c>
      <c r="C15" s="202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s="92" customFormat="1" ht="18" customHeight="1">
      <c r="B16" s="203" t="str">
        <f>'Assumptions Processing'!B6</f>
        <v>Land</v>
      </c>
      <c r="C16" s="203"/>
      <c r="D16" s="211">
        <f>-'Assumptions Processing'!E6</f>
        <v>-100000000</v>
      </c>
      <c r="E16" s="211">
        <f>-'Assumptions Processing'!F6</f>
        <v>0</v>
      </c>
      <c r="F16" s="211">
        <f>-'Assumptions Processing'!G6</f>
        <v>0</v>
      </c>
      <c r="G16" s="211">
        <f>-'Assumptions Processing'!H6</f>
        <v>0</v>
      </c>
      <c r="H16" s="211">
        <f>-'Assumptions Processing'!I6</f>
        <v>0</v>
      </c>
      <c r="I16" s="211">
        <f>-'Assumptions Processing'!J6</f>
        <v>0</v>
      </c>
      <c r="J16" s="211">
        <f>-'Assumptions Processing'!K6</f>
        <v>0</v>
      </c>
      <c r="K16" s="211">
        <f>-'Assumptions Processing'!L6</f>
        <v>0</v>
      </c>
      <c r="L16" s="211">
        <f>-'Assumptions Processing'!M6</f>
        <v>0</v>
      </c>
      <c r="M16" s="211">
        <f>-'Assumptions Processing'!N6</f>
        <v>0</v>
      </c>
      <c r="N16" s="211">
        <f>-'Assumptions Processing'!O6</f>
        <v>0</v>
      </c>
      <c r="O16" s="211">
        <f>-'Assumptions Processing'!P6</f>
        <v>0</v>
      </c>
      <c r="P16" s="211">
        <f>-'Assumptions Processing'!Q6</f>
        <v>0</v>
      </c>
      <c r="Q16" s="211">
        <f>-'Assumptions Processing'!R6</f>
        <v>0</v>
      </c>
      <c r="R16" s="211">
        <f>-'Assumptions Processing'!S6</f>
        <v>0</v>
      </c>
      <c r="S16" s="211">
        <f>-'Assumptions Processing'!T6</f>
        <v>0</v>
      </c>
      <c r="T16" s="211">
        <f>-'Assumptions Processing'!U6</f>
        <v>0</v>
      </c>
      <c r="U16" s="211">
        <f>-'Assumptions Processing'!V6</f>
        <v>0</v>
      </c>
      <c r="V16" s="211">
        <f>-'Assumptions Processing'!W6</f>
        <v>0</v>
      </c>
      <c r="W16" s="211">
        <f>-'Assumptions Processing'!X6</f>
        <v>0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2:36" s="92" customFormat="1" ht="18" customHeight="1">
      <c r="B17" s="203" t="str">
        <f>'Assumptions Processing'!B7</f>
        <v>Construction</v>
      </c>
      <c r="C17" s="203"/>
      <c r="D17" s="211">
        <f>-'Assumptions Processing'!E7</f>
        <v>-550000000</v>
      </c>
      <c r="E17" s="211">
        <f>-'Assumptions Processing'!F7</f>
        <v>-550000000</v>
      </c>
      <c r="F17" s="211">
        <f>-'Assumptions Processing'!G7</f>
        <v>0</v>
      </c>
      <c r="G17" s="211">
        <f>-'Assumptions Processing'!H7</f>
        <v>0</v>
      </c>
      <c r="H17" s="211">
        <f>-'Assumptions Processing'!I7</f>
        <v>0</v>
      </c>
      <c r="I17" s="211">
        <f>-'Assumptions Processing'!J7</f>
        <v>0</v>
      </c>
      <c r="J17" s="211">
        <f>-'Assumptions Processing'!K7</f>
        <v>0</v>
      </c>
      <c r="K17" s="211">
        <f>-'Assumptions Processing'!L7</f>
        <v>0</v>
      </c>
      <c r="L17" s="211">
        <f>-'Assumptions Processing'!M7</f>
        <v>0</v>
      </c>
      <c r="M17" s="211">
        <f>-'Assumptions Processing'!N7</f>
        <v>0</v>
      </c>
      <c r="N17" s="211">
        <f>-'Assumptions Processing'!O7</f>
        <v>0</v>
      </c>
      <c r="O17" s="211">
        <f>-'Assumptions Processing'!P7</f>
        <v>0</v>
      </c>
      <c r="P17" s="211">
        <f>-'Assumptions Processing'!Q7</f>
        <v>0</v>
      </c>
      <c r="Q17" s="211">
        <f>-'Assumptions Processing'!R7</f>
        <v>0</v>
      </c>
      <c r="R17" s="211">
        <f>-'Assumptions Processing'!S7</f>
        <v>0</v>
      </c>
      <c r="S17" s="211">
        <f>-'Assumptions Processing'!T7</f>
        <v>0</v>
      </c>
      <c r="T17" s="211">
        <f>-'Assumptions Processing'!U7</f>
        <v>0</v>
      </c>
      <c r="U17" s="211">
        <f>-'Assumptions Processing'!V7</f>
        <v>0</v>
      </c>
      <c r="V17" s="211">
        <f>-'Assumptions Processing'!W7</f>
        <v>0</v>
      </c>
      <c r="W17" s="211">
        <f>-'Assumptions Processing'!X7</f>
        <v>0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2:36" s="92" customFormat="1" ht="18" customHeight="1">
      <c r="B18" s="203" t="str">
        <f>'Assumptions Processing'!B8</f>
        <v>Equipment</v>
      </c>
      <c r="C18" s="203"/>
      <c r="D18" s="211">
        <f>-'Assumptions Processing'!E8</f>
        <v>0</v>
      </c>
      <c r="E18" s="211">
        <f>-'Assumptions Processing'!F8</f>
        <v>-3000000000</v>
      </c>
      <c r="F18" s="211">
        <f>-'Assumptions Processing'!G8</f>
        <v>-3000000000</v>
      </c>
      <c r="G18" s="211">
        <f>-'Assumptions Processing'!H8</f>
        <v>0</v>
      </c>
      <c r="H18" s="211">
        <f>-'Assumptions Processing'!I8</f>
        <v>0</v>
      </c>
      <c r="I18" s="211">
        <f>-'Assumptions Processing'!J8</f>
        <v>0</v>
      </c>
      <c r="J18" s="211">
        <f>-'Assumptions Processing'!K8</f>
        <v>0</v>
      </c>
      <c r="K18" s="211">
        <f>-'Assumptions Processing'!L8</f>
        <v>0</v>
      </c>
      <c r="L18" s="211">
        <f>-'Assumptions Processing'!M8</f>
        <v>0</v>
      </c>
      <c r="M18" s="211">
        <f>-'Assumptions Processing'!N8</f>
        <v>0</v>
      </c>
      <c r="N18" s="211">
        <f>-'Assumptions Processing'!O8</f>
        <v>0</v>
      </c>
      <c r="O18" s="211">
        <f>-'Assumptions Processing'!P8</f>
        <v>0</v>
      </c>
      <c r="P18" s="211">
        <f>-'Assumptions Processing'!Q8</f>
        <v>0</v>
      </c>
      <c r="Q18" s="211">
        <f>-'Assumptions Processing'!R8</f>
        <v>0</v>
      </c>
      <c r="R18" s="211">
        <f>-'Assumptions Processing'!S8</f>
        <v>0</v>
      </c>
      <c r="S18" s="211">
        <f>-'Assumptions Processing'!T8</f>
        <v>0</v>
      </c>
      <c r="T18" s="211">
        <f>-'Assumptions Processing'!U8</f>
        <v>0</v>
      </c>
      <c r="U18" s="211">
        <f>-'Assumptions Processing'!V8</f>
        <v>0</v>
      </c>
      <c r="V18" s="211">
        <f>-'Assumptions Processing'!W8</f>
        <v>0</v>
      </c>
      <c r="W18" s="211">
        <f>-'Assumptions Processing'!X8</f>
        <v>0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2:36" s="92" customFormat="1" ht="18" customHeight="1">
      <c r="B19" s="203" t="str">
        <f>'Assumptions Processing'!B9</f>
        <v>Administrative Expenses directly attributable to facility construction</v>
      </c>
      <c r="C19" s="203"/>
      <c r="D19" s="211">
        <f>-'Assumptions Processing'!E9</f>
        <v>-25000000</v>
      </c>
      <c r="E19" s="211">
        <f>-'Assumptions Processing'!F9</f>
        <v>-25000000</v>
      </c>
      <c r="F19" s="211">
        <f>-'Assumptions Processing'!G9</f>
        <v>-50000000</v>
      </c>
      <c r="G19" s="211">
        <f>-'Assumptions Processing'!H9</f>
        <v>0</v>
      </c>
      <c r="H19" s="211">
        <f>-'Assumptions Processing'!I9</f>
        <v>0</v>
      </c>
      <c r="I19" s="211">
        <f>-'Assumptions Processing'!J9</f>
        <v>0</v>
      </c>
      <c r="J19" s="211">
        <f>-'Assumptions Processing'!K9</f>
        <v>0</v>
      </c>
      <c r="K19" s="211">
        <f>-'Assumptions Processing'!L9</f>
        <v>0</v>
      </c>
      <c r="L19" s="211">
        <f>-'Assumptions Processing'!M9</f>
        <v>0</v>
      </c>
      <c r="M19" s="211">
        <f>-'Assumptions Processing'!N9</f>
        <v>0</v>
      </c>
      <c r="N19" s="211">
        <f>-'Assumptions Processing'!O9</f>
        <v>0</v>
      </c>
      <c r="O19" s="211">
        <f>-'Assumptions Processing'!P9</f>
        <v>0</v>
      </c>
      <c r="P19" s="211">
        <f>-'Assumptions Processing'!Q9</f>
        <v>0</v>
      </c>
      <c r="Q19" s="211">
        <f>-'Assumptions Processing'!R9</f>
        <v>0</v>
      </c>
      <c r="R19" s="211">
        <f>-'Assumptions Processing'!S9</f>
        <v>0</v>
      </c>
      <c r="S19" s="211">
        <f>-'Assumptions Processing'!T9</f>
        <v>0</v>
      </c>
      <c r="T19" s="211">
        <f>-'Assumptions Processing'!U9</f>
        <v>0</v>
      </c>
      <c r="U19" s="211">
        <f>-'Assumptions Processing'!V9</f>
        <v>0</v>
      </c>
      <c r="V19" s="211">
        <f>-'Assumptions Processing'!W9</f>
        <v>0</v>
      </c>
      <c r="W19" s="211">
        <f>-'Assumptions Processing'!X9</f>
        <v>0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2:36" s="92" customFormat="1" ht="18" customHeight="1">
      <c r="B20" s="203" t="str">
        <f>'Assumptions Processing'!B10</f>
        <v>Infrastructure Improvements</v>
      </c>
      <c r="C20" s="203"/>
      <c r="D20" s="211">
        <f>-'Assumptions Processing'!E10</f>
        <v>-25000000</v>
      </c>
      <c r="E20" s="211">
        <f>-'Assumptions Processing'!F10</f>
        <v>-25000000</v>
      </c>
      <c r="F20" s="211">
        <f>-'Assumptions Processing'!G10</f>
        <v>-50000000</v>
      </c>
      <c r="G20" s="211">
        <f>-'Assumptions Processing'!H10</f>
        <v>0</v>
      </c>
      <c r="H20" s="211">
        <f>-'Assumptions Processing'!I10</f>
        <v>0</v>
      </c>
      <c r="I20" s="211">
        <f>-'Assumptions Processing'!J10</f>
        <v>0</v>
      </c>
      <c r="J20" s="211">
        <f>-'Assumptions Processing'!K10</f>
        <v>0</v>
      </c>
      <c r="K20" s="211">
        <f>-'Assumptions Processing'!L10</f>
        <v>0</v>
      </c>
      <c r="L20" s="211">
        <f>-'Assumptions Processing'!M10</f>
        <v>0</v>
      </c>
      <c r="M20" s="211">
        <f>-'Assumptions Processing'!N10</f>
        <v>0</v>
      </c>
      <c r="N20" s="211">
        <f>-'Assumptions Processing'!O10</f>
        <v>0</v>
      </c>
      <c r="O20" s="211">
        <f>-'Assumptions Processing'!P10</f>
        <v>0</v>
      </c>
      <c r="P20" s="211">
        <f>-'Assumptions Processing'!Q10</f>
        <v>0</v>
      </c>
      <c r="Q20" s="211">
        <f>-'Assumptions Processing'!R10</f>
        <v>0</v>
      </c>
      <c r="R20" s="211">
        <f>-'Assumptions Processing'!S10</f>
        <v>0</v>
      </c>
      <c r="S20" s="211">
        <f>-'Assumptions Processing'!T10</f>
        <v>0</v>
      </c>
      <c r="T20" s="211">
        <f>-'Assumptions Processing'!U10</f>
        <v>0</v>
      </c>
      <c r="U20" s="211">
        <f>-'Assumptions Processing'!V10</f>
        <v>0</v>
      </c>
      <c r="V20" s="211">
        <f>-'Assumptions Processing'!W10</f>
        <v>0</v>
      </c>
      <c r="W20" s="211">
        <f>-'Assumptions Processing'!X10</f>
        <v>0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2:36" s="92" customFormat="1" ht="18" customHeight="1">
      <c r="B21" s="203" t="str">
        <f>'Assumptions Processing'!B11</f>
        <v>Other Capital Investment</v>
      </c>
      <c r="C21" s="203"/>
      <c r="D21" s="211">
        <f>-'Assumptions Processing'!E11</f>
        <v>-150000000</v>
      </c>
      <c r="E21" s="211">
        <f>-'Assumptions Processing'!F11</f>
        <v>-150000000</v>
      </c>
      <c r="F21" s="211">
        <f>-'Assumptions Processing'!G11</f>
        <v>-300000000</v>
      </c>
      <c r="G21" s="211">
        <f>-'Assumptions Processing'!H11</f>
        <v>0</v>
      </c>
      <c r="H21" s="211">
        <f>-'Assumptions Processing'!I11</f>
        <v>0</v>
      </c>
      <c r="I21" s="211">
        <f>-'Assumptions Processing'!J11</f>
        <v>0</v>
      </c>
      <c r="J21" s="211">
        <f>-'Assumptions Processing'!K11</f>
        <v>0</v>
      </c>
      <c r="K21" s="211">
        <f>-'Assumptions Processing'!L11</f>
        <v>0</v>
      </c>
      <c r="L21" s="211">
        <f>-'Assumptions Processing'!M11</f>
        <v>0</v>
      </c>
      <c r="M21" s="211">
        <f>-'Assumptions Processing'!N11</f>
        <v>0</v>
      </c>
      <c r="N21" s="211">
        <f>-'Assumptions Processing'!O11</f>
        <v>0</v>
      </c>
      <c r="O21" s="211">
        <f>-'Assumptions Processing'!P11</f>
        <v>0</v>
      </c>
      <c r="P21" s="211">
        <f>-'Assumptions Processing'!Q11</f>
        <v>0</v>
      </c>
      <c r="Q21" s="211">
        <f>-'Assumptions Processing'!R11</f>
        <v>0</v>
      </c>
      <c r="R21" s="211">
        <f>-'Assumptions Processing'!S11</f>
        <v>0</v>
      </c>
      <c r="S21" s="211">
        <f>-'Assumptions Processing'!T11</f>
        <v>0</v>
      </c>
      <c r="T21" s="211">
        <f>-'Assumptions Processing'!U11</f>
        <v>0</v>
      </c>
      <c r="U21" s="211">
        <f>-'Assumptions Processing'!V11</f>
        <v>0</v>
      </c>
      <c r="V21" s="211">
        <f>-'Assumptions Processing'!W11</f>
        <v>0</v>
      </c>
      <c r="W21" s="211">
        <f>-'Assumptions Processing'!X11</f>
        <v>0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2:36" s="92" customFormat="1" ht="18" customHeight="1">
      <c r="B22" s="203" t="str">
        <f>'Assumptions Processing'!B12</f>
        <v>Ongoing annual capital investment (after facility initiates operation)</v>
      </c>
      <c r="C22" s="203"/>
      <c r="D22" s="211">
        <f>-'Assumptions Processing'!E12</f>
        <v>0</v>
      </c>
      <c r="E22" s="211">
        <f>-'Assumptions Processing'!F12</f>
        <v>0</v>
      </c>
      <c r="F22" s="211">
        <f>-'Assumptions Processing'!G12</f>
        <v>0</v>
      </c>
      <c r="G22" s="211">
        <f>-'Assumptions Processing'!H12</f>
        <v>-320000000</v>
      </c>
      <c r="H22" s="211">
        <f>-'Assumptions Processing'!I12</f>
        <v>-320000000</v>
      </c>
      <c r="I22" s="211">
        <f>-'Assumptions Processing'!J12</f>
        <v>-320000000</v>
      </c>
      <c r="J22" s="211">
        <f>-'Assumptions Processing'!K12</f>
        <v>-320000000</v>
      </c>
      <c r="K22" s="211">
        <f>-'Assumptions Processing'!L12</f>
        <v>-320000000</v>
      </c>
      <c r="L22" s="211">
        <f>-'Assumptions Processing'!M12</f>
        <v>-320000000</v>
      </c>
      <c r="M22" s="211">
        <f>-'Assumptions Processing'!N12</f>
        <v>-320000000</v>
      </c>
      <c r="N22" s="211">
        <f>-'Assumptions Processing'!O12</f>
        <v>-320000000</v>
      </c>
      <c r="O22" s="211">
        <f>-'Assumptions Processing'!P12</f>
        <v>-320000000</v>
      </c>
      <c r="P22" s="211">
        <f>-'Assumptions Processing'!Q12</f>
        <v>-320000000</v>
      </c>
      <c r="Q22" s="211">
        <f>-'Assumptions Processing'!R12</f>
        <v>-320000000</v>
      </c>
      <c r="R22" s="211">
        <f>-'Assumptions Processing'!S12</f>
        <v>-320000000</v>
      </c>
      <c r="S22" s="211">
        <f>-'Assumptions Processing'!T12</f>
        <v>-320000000</v>
      </c>
      <c r="T22" s="211">
        <f>-'Assumptions Processing'!U12</f>
        <v>-320000000</v>
      </c>
      <c r="U22" s="211">
        <f>-'Assumptions Processing'!V12</f>
        <v>-320000000</v>
      </c>
      <c r="V22" s="211">
        <f>-'Assumptions Processing'!W12</f>
        <v>-320000000</v>
      </c>
      <c r="W22" s="211">
        <f>-'Assumptions Processing'!X12</f>
        <v>-320000000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2:36" s="92" customFormat="1" ht="18" customHeight="1">
      <c r="B23" s="207" t="s">
        <v>188</v>
      </c>
      <c r="C23" s="207"/>
      <c r="D23" s="210">
        <f>SUM(D16:D22)</f>
        <v>-850000000</v>
      </c>
      <c r="E23" s="210">
        <f>SUM(E16:E22)</f>
        <v>-3750000000</v>
      </c>
      <c r="F23" s="210">
        <f t="shared" ref="F23:W23" si="3">SUM(F16:F22)</f>
        <v>-3400000000</v>
      </c>
      <c r="G23" s="210">
        <f t="shared" si="3"/>
        <v>-320000000</v>
      </c>
      <c r="H23" s="210">
        <f t="shared" si="3"/>
        <v>-320000000</v>
      </c>
      <c r="I23" s="210">
        <f t="shared" si="3"/>
        <v>-320000000</v>
      </c>
      <c r="J23" s="210">
        <f t="shared" si="3"/>
        <v>-320000000</v>
      </c>
      <c r="K23" s="210">
        <f t="shared" si="3"/>
        <v>-320000000</v>
      </c>
      <c r="L23" s="210">
        <f t="shared" si="3"/>
        <v>-320000000</v>
      </c>
      <c r="M23" s="210">
        <f t="shared" si="3"/>
        <v>-320000000</v>
      </c>
      <c r="N23" s="210">
        <f t="shared" si="3"/>
        <v>-320000000</v>
      </c>
      <c r="O23" s="210">
        <f t="shared" si="3"/>
        <v>-320000000</v>
      </c>
      <c r="P23" s="210">
        <f t="shared" si="3"/>
        <v>-320000000</v>
      </c>
      <c r="Q23" s="210">
        <f t="shared" si="3"/>
        <v>-320000000</v>
      </c>
      <c r="R23" s="210">
        <f t="shared" si="3"/>
        <v>-320000000</v>
      </c>
      <c r="S23" s="210">
        <f t="shared" si="3"/>
        <v>-320000000</v>
      </c>
      <c r="T23" s="210">
        <f t="shared" si="3"/>
        <v>-320000000</v>
      </c>
      <c r="U23" s="210">
        <f t="shared" si="3"/>
        <v>-320000000</v>
      </c>
      <c r="V23" s="210">
        <f t="shared" si="3"/>
        <v>-320000000</v>
      </c>
      <c r="W23" s="210">
        <f t="shared" si="3"/>
        <v>-320000000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2:36" s="92" customFormat="1" ht="18" customHeight="1">
      <c r="B24" s="206" t="s">
        <v>189</v>
      </c>
      <c r="C24" s="206"/>
      <c r="D24" s="211">
        <f>'Depreciation Schedule'!E16</f>
        <v>153750000</v>
      </c>
      <c r="E24" s="211">
        <f>'Depreciation Schedule'!F16</f>
        <v>768750000</v>
      </c>
      <c r="F24" s="211">
        <f>'Depreciation Schedule'!G16</f>
        <v>697000000</v>
      </c>
      <c r="G24" s="211">
        <f>'Depreciation Schedule'!H16</f>
        <v>0</v>
      </c>
      <c r="H24" s="211">
        <f>'Depreciation Schedule'!I16</f>
        <v>0</v>
      </c>
      <c r="I24" s="211">
        <f>'Depreciation Schedule'!J16</f>
        <v>0</v>
      </c>
      <c r="J24" s="211">
        <f>'Depreciation Schedule'!K16</f>
        <v>0</v>
      </c>
      <c r="K24" s="211">
        <f>'Depreciation Schedule'!L16</f>
        <v>0</v>
      </c>
      <c r="L24" s="211">
        <f>'Depreciation Schedule'!M16</f>
        <v>0</v>
      </c>
      <c r="M24" s="211">
        <f>'Depreciation Schedule'!N16</f>
        <v>0</v>
      </c>
      <c r="N24" s="211">
        <f>'Depreciation Schedule'!O16</f>
        <v>0</v>
      </c>
      <c r="O24" s="211">
        <f>'Depreciation Schedule'!P16</f>
        <v>0</v>
      </c>
      <c r="P24" s="211">
        <f>'Depreciation Schedule'!Q16</f>
        <v>0</v>
      </c>
      <c r="Q24" s="211">
        <f>'Depreciation Schedule'!R16</f>
        <v>0</v>
      </c>
      <c r="R24" s="211">
        <f>'Depreciation Schedule'!S16</f>
        <v>0</v>
      </c>
      <c r="S24" s="211">
        <f>'Depreciation Schedule'!T16</f>
        <v>0</v>
      </c>
      <c r="T24" s="211">
        <f>'Depreciation Schedule'!U16</f>
        <v>0</v>
      </c>
      <c r="U24" s="211">
        <f>'Depreciation Schedule'!V16</f>
        <v>0</v>
      </c>
      <c r="V24" s="211">
        <f>'Depreciation Schedule'!W16</f>
        <v>0</v>
      </c>
      <c r="W24" s="211">
        <f>'Depreciation Schedule'!X16</f>
        <v>0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2:36" s="92" customFormat="1" ht="18" customHeight="1">
      <c r="B25" s="204" t="s">
        <v>190</v>
      </c>
      <c r="C25" s="204"/>
      <c r="D25" s="208">
        <f>SUM(D23:D24)</f>
        <v>-696250000</v>
      </c>
      <c r="E25" s="208">
        <f>SUM(E23:E24)</f>
        <v>-2981250000</v>
      </c>
      <c r="F25" s="208">
        <f t="shared" ref="F25:W25" si="4">SUM(F23:F24)</f>
        <v>-2703000000</v>
      </c>
      <c r="G25" s="208">
        <f t="shared" si="4"/>
        <v>-320000000</v>
      </c>
      <c r="H25" s="208">
        <f t="shared" si="4"/>
        <v>-320000000</v>
      </c>
      <c r="I25" s="208">
        <f t="shared" si="4"/>
        <v>-320000000</v>
      </c>
      <c r="J25" s="208">
        <f t="shared" si="4"/>
        <v>-320000000</v>
      </c>
      <c r="K25" s="208">
        <f t="shared" si="4"/>
        <v>-320000000</v>
      </c>
      <c r="L25" s="208">
        <f t="shared" si="4"/>
        <v>-320000000</v>
      </c>
      <c r="M25" s="208">
        <f t="shared" si="4"/>
        <v>-320000000</v>
      </c>
      <c r="N25" s="208">
        <f t="shared" si="4"/>
        <v>-320000000</v>
      </c>
      <c r="O25" s="208">
        <f t="shared" si="4"/>
        <v>-320000000</v>
      </c>
      <c r="P25" s="208">
        <f t="shared" si="4"/>
        <v>-320000000</v>
      </c>
      <c r="Q25" s="208">
        <f t="shared" si="4"/>
        <v>-320000000</v>
      </c>
      <c r="R25" s="208">
        <f t="shared" si="4"/>
        <v>-320000000</v>
      </c>
      <c r="S25" s="208">
        <f t="shared" si="4"/>
        <v>-320000000</v>
      </c>
      <c r="T25" s="208">
        <f t="shared" si="4"/>
        <v>-320000000</v>
      </c>
      <c r="U25" s="208">
        <f t="shared" si="4"/>
        <v>-320000000</v>
      </c>
      <c r="V25" s="208">
        <f t="shared" si="4"/>
        <v>-320000000</v>
      </c>
      <c r="W25" s="208">
        <f t="shared" si="4"/>
        <v>-320000000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2:36" s="92" customFormat="1" ht="18" customHeight="1">
      <c r="B26" s="205"/>
      <c r="C26" s="205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09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2:36" s="92" customFormat="1" ht="18" customHeight="1">
      <c r="B27" s="202" t="s">
        <v>191</v>
      </c>
      <c r="C27" s="202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2:36" s="92" customFormat="1" ht="18" customHeight="1">
      <c r="B28" s="203" t="s">
        <v>192</v>
      </c>
      <c r="C28" s="203"/>
      <c r="D28" s="211">
        <f>'Balance Sheet'!D43-'Balance Sheet'!C43</f>
        <v>1666666666.6666665</v>
      </c>
      <c r="E28" s="211">
        <f>'Balance Sheet'!E43-'Balance Sheet'!D43</f>
        <v>1666666666.6666665</v>
      </c>
      <c r="F28" s="211">
        <f>'Balance Sheet'!F43-'Balance Sheet'!E43</f>
        <v>1666666666.666667</v>
      </c>
      <c r="G28" s="211">
        <f>'Balance Sheet'!G43-'Balance Sheet'!F43</f>
        <v>0</v>
      </c>
      <c r="H28" s="211">
        <f>'Balance Sheet'!H43-'Balance Sheet'!G43</f>
        <v>0</v>
      </c>
      <c r="I28" s="211">
        <f>'Balance Sheet'!I43-'Balance Sheet'!H43</f>
        <v>0</v>
      </c>
      <c r="J28" s="211">
        <f>'Balance Sheet'!J43-'Balance Sheet'!I43</f>
        <v>0</v>
      </c>
      <c r="K28" s="211">
        <f>'Balance Sheet'!K43-'Balance Sheet'!J43</f>
        <v>0</v>
      </c>
      <c r="L28" s="211">
        <f>'Balance Sheet'!L43-'Balance Sheet'!K43</f>
        <v>0</v>
      </c>
      <c r="M28" s="211">
        <f>'Balance Sheet'!M43-'Balance Sheet'!L43</f>
        <v>0</v>
      </c>
      <c r="N28" s="211">
        <f>'Balance Sheet'!N43-'Balance Sheet'!M43</f>
        <v>0</v>
      </c>
      <c r="O28" s="211">
        <f>'Balance Sheet'!O43-'Balance Sheet'!N43</f>
        <v>0</v>
      </c>
      <c r="P28" s="211">
        <f>'Balance Sheet'!P43-'Balance Sheet'!O43</f>
        <v>0</v>
      </c>
      <c r="Q28" s="211">
        <f>'Balance Sheet'!Q43-'Balance Sheet'!P43</f>
        <v>0</v>
      </c>
      <c r="R28" s="211">
        <f>'Balance Sheet'!R43-'Balance Sheet'!Q43</f>
        <v>0</v>
      </c>
      <c r="S28" s="211">
        <f>'Balance Sheet'!S43-'Balance Sheet'!R43</f>
        <v>0</v>
      </c>
      <c r="T28" s="211">
        <f>'Balance Sheet'!T43-'Balance Sheet'!S43</f>
        <v>0</v>
      </c>
      <c r="U28" s="211">
        <f>'Balance Sheet'!U43-'Balance Sheet'!T43</f>
        <v>0</v>
      </c>
      <c r="V28" s="211">
        <f>'Balance Sheet'!V43-'Balance Sheet'!U43</f>
        <v>0</v>
      </c>
      <c r="W28" s="211">
        <f>'Balance Sheet'!W43-'Balance Sheet'!V43</f>
        <v>0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2:36" s="92" customFormat="1" ht="18" customHeight="1">
      <c r="B29" s="203" t="s">
        <v>193</v>
      </c>
      <c r="C29" s="203"/>
      <c r="D29" s="211">
        <f>'Assumptions Processing'!E38-'Assumptions Processing'!E35</f>
        <v>500000000</v>
      </c>
      <c r="E29" s="211">
        <f>'Assumptions Processing'!F38-'Assumptions Processing'!F35</f>
        <v>500000000</v>
      </c>
      <c r="F29" s="211">
        <f>'Assumptions Processing'!G38-'Assumptions Processing'!G35</f>
        <v>500000000</v>
      </c>
      <c r="G29" s="211">
        <f>'Assumptions Processing'!H38-'Assumptions Processing'!H35</f>
        <v>-184229727.66925597</v>
      </c>
      <c r="H29" s="211">
        <f>'Assumptions Processing'!I38-'Assumptions Processing'!I35</f>
        <v>-193441214.05271888</v>
      </c>
      <c r="I29" s="211">
        <f>'Assumptions Processing'!J38-'Assumptions Processing'!J35</f>
        <v>-203113274.75535488</v>
      </c>
      <c r="J29" s="211">
        <f>'Assumptions Processing'!K38-'Assumptions Processing'!K35</f>
        <v>-213268938.49312258</v>
      </c>
      <c r="K29" s="211">
        <f>'Assumptions Processing'!L38-'Assumptions Processing'!L35</f>
        <v>-223932385.41777873</v>
      </c>
      <c r="L29" s="211">
        <f>'Assumptions Processing'!M38-'Assumptions Processing'!M35</f>
        <v>-235129004.68866765</v>
      </c>
      <c r="M29" s="211">
        <f>'Assumptions Processing'!N38-'Assumptions Processing'!N35</f>
        <v>-246885454.92310131</v>
      </c>
      <c r="N29" s="211">
        <f>'Assumptions Processing'!O38-'Assumptions Processing'!O35</f>
        <v>0</v>
      </c>
      <c r="O29" s="211">
        <f>'Assumptions Processing'!P38-'Assumptions Processing'!P35</f>
        <v>0</v>
      </c>
      <c r="P29" s="211">
        <f>'Assumptions Processing'!Q38-'Assumptions Processing'!Q35</f>
        <v>0</v>
      </c>
      <c r="Q29" s="211">
        <f>'Assumptions Processing'!R38-'Assumptions Processing'!R35</f>
        <v>0</v>
      </c>
      <c r="R29" s="211">
        <f>'Assumptions Processing'!S38-'Assumptions Processing'!S35</f>
        <v>0</v>
      </c>
      <c r="S29" s="211">
        <f>'Assumptions Processing'!T38-'Assumptions Processing'!T35</f>
        <v>0</v>
      </c>
      <c r="T29" s="211">
        <f>'Assumptions Processing'!U38-'Assumptions Processing'!U35</f>
        <v>0</v>
      </c>
      <c r="U29" s="211">
        <f>'Assumptions Processing'!V38-'Assumptions Processing'!V35</f>
        <v>0</v>
      </c>
      <c r="V29" s="211">
        <f>'Assumptions Processing'!W38-'Assumptions Processing'!W35</f>
        <v>0</v>
      </c>
      <c r="W29" s="211">
        <f>'Assumptions Processing'!X38-'Assumptions Processing'!X35</f>
        <v>0</v>
      </c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2:36" s="92" customFormat="1" ht="18" customHeight="1">
      <c r="B30" s="203" t="s">
        <v>194</v>
      </c>
      <c r="C30" s="203"/>
      <c r="D30" s="211">
        <f>'Assumptions Processing'!E48-'Assumptions Processing'!E45</f>
        <v>500000000</v>
      </c>
      <c r="E30" s="211">
        <f>'Assumptions Processing'!F48-'Assumptions Processing'!F45</f>
        <v>500000000</v>
      </c>
      <c r="F30" s="211">
        <f>'Assumptions Processing'!G48-'Assumptions Processing'!G45</f>
        <v>500000000</v>
      </c>
      <c r="G30" s="211">
        <f>'Assumptions Processing'!H48-'Assumptions Processing'!H45</f>
        <v>-255684681.85025501</v>
      </c>
      <c r="H30" s="211">
        <f>'Assumptions Processing'!I48-'Assumptions Processing'!I45</f>
        <v>-276139456.39827538</v>
      </c>
      <c r="I30" s="211">
        <f>'Assumptions Processing'!J48-'Assumptions Processing'!J45</f>
        <v>-298230612.91013741</v>
      </c>
      <c r="J30" s="211">
        <f>'Assumptions Processing'!K48-'Assumptions Processing'!K45</f>
        <v>-322089061.94294828</v>
      </c>
      <c r="K30" s="211">
        <f>'Assumptions Processing'!L48-'Assumptions Processing'!L45</f>
        <v>-347856186.89838392</v>
      </c>
      <c r="L30" s="211">
        <f>'Assumptions Processing'!M48-'Assumptions Processing'!M45</f>
        <v>0</v>
      </c>
      <c r="M30" s="211">
        <f>'Assumptions Processing'!N48-'Assumptions Processing'!N45</f>
        <v>0</v>
      </c>
      <c r="N30" s="211">
        <f>'Assumptions Processing'!O48-'Assumptions Processing'!O45</f>
        <v>0</v>
      </c>
      <c r="O30" s="211">
        <f>'Assumptions Processing'!P48-'Assumptions Processing'!P45</f>
        <v>0</v>
      </c>
      <c r="P30" s="211">
        <f>'Assumptions Processing'!Q48-'Assumptions Processing'!Q45</f>
        <v>0</v>
      </c>
      <c r="Q30" s="211">
        <f>'Assumptions Processing'!R48-'Assumptions Processing'!R45</f>
        <v>0</v>
      </c>
      <c r="R30" s="211">
        <f>'Assumptions Processing'!S48-'Assumptions Processing'!S45</f>
        <v>0</v>
      </c>
      <c r="S30" s="211">
        <f>'Assumptions Processing'!T48-'Assumptions Processing'!T45</f>
        <v>0</v>
      </c>
      <c r="T30" s="211">
        <f>'Assumptions Processing'!U48-'Assumptions Processing'!U45</f>
        <v>0</v>
      </c>
      <c r="U30" s="211">
        <f>'Assumptions Processing'!V48-'Assumptions Processing'!V45</f>
        <v>0</v>
      </c>
      <c r="V30" s="211">
        <f>'Assumptions Processing'!W48-'Assumptions Processing'!W45</f>
        <v>0</v>
      </c>
      <c r="W30" s="211">
        <f>'Assumptions Processing'!X48-'Assumptions Processing'!X45</f>
        <v>0</v>
      </c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2:36" s="92" customFormat="1" ht="18" customHeight="1">
      <c r="B31" s="203" t="s">
        <v>195</v>
      </c>
      <c r="C31" s="203"/>
      <c r="D31" s="211">
        <f>-'Control Panel'!C98</f>
        <v>0</v>
      </c>
      <c r="E31" s="211">
        <f>-'Control Panel'!D98</f>
        <v>0</v>
      </c>
      <c r="F31" s="211">
        <f>-'Control Panel'!E98</f>
        <v>0</v>
      </c>
      <c r="G31" s="211">
        <f>-'Control Panel'!F98</f>
        <v>0</v>
      </c>
      <c r="H31" s="211">
        <f>-'Control Panel'!G98</f>
        <v>-4656144562.9905882</v>
      </c>
      <c r="I31" s="211">
        <f>-'Control Panel'!H98</f>
        <v>-663325771.23918605</v>
      </c>
      <c r="J31" s="211">
        <f>-'Control Panel'!I98</f>
        <v>-564016330.49850166</v>
      </c>
      <c r="K31" s="211">
        <f>-'Control Panel'!J98</f>
        <v>-384823622.08381671</v>
      </c>
      <c r="L31" s="211">
        <f>-'Control Panel'!K98</f>
        <v>-571622221.99111867</v>
      </c>
      <c r="M31" s="211">
        <f>-'Control Panel'!L98</f>
        <v>-620791985.87939489</v>
      </c>
      <c r="N31" s="211">
        <f>-'Control Panel'!M98</f>
        <v>-675192801.21452236</v>
      </c>
      <c r="O31" s="211">
        <f>-'Control Panel'!N98</f>
        <v>-605078984.24594021</v>
      </c>
      <c r="P31" s="211">
        <f>-'Control Panel'!O98</f>
        <v>-538585343.4326365</v>
      </c>
      <c r="Q31" s="211">
        <f>-'Control Panel'!P98</f>
        <v>-475536265.50360262</v>
      </c>
      <c r="R31" s="211">
        <f>-'Control Panel'!Q98</f>
        <v>-415764099.06288159</v>
      </c>
      <c r="S31" s="211">
        <f>-'Control Panel'!R98</f>
        <v>-352987332.62355721</v>
      </c>
      <c r="T31" s="211">
        <f>-'Control Panel'!S98</f>
        <v>-293174782.35087752</v>
      </c>
      <c r="U31" s="211">
        <f>-'Control Panel'!T98</f>
        <v>-242302289.54876387</v>
      </c>
      <c r="V31" s="211">
        <f>-'Control Panel'!U98</f>
        <v>-194109427.88041532</v>
      </c>
      <c r="W31" s="211">
        <f>-'Control Panel'!V98</f>
        <v>-148463720.27570868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2:36" s="92" customFormat="1" ht="18" customHeight="1">
      <c r="B32" s="204" t="s">
        <v>196</v>
      </c>
      <c r="C32" s="204"/>
      <c r="D32" s="208">
        <f>SUM(D28:D31)</f>
        <v>2666666666.6666665</v>
      </c>
      <c r="E32" s="208">
        <f t="shared" ref="E32:W32" si="5">SUM(E28:E31)</f>
        <v>2666666666.6666665</v>
      </c>
      <c r="F32" s="208">
        <f t="shared" si="5"/>
        <v>2666666666.666667</v>
      </c>
      <c r="G32" s="208">
        <f t="shared" si="5"/>
        <v>-439914409.51951098</v>
      </c>
      <c r="H32" s="208">
        <f t="shared" si="5"/>
        <v>-5125725233.4415827</v>
      </c>
      <c r="I32" s="208">
        <f t="shared" si="5"/>
        <v>-1164669658.9046783</v>
      </c>
      <c r="J32" s="208">
        <f t="shared" si="5"/>
        <v>-1099374330.9345725</v>
      </c>
      <c r="K32" s="208">
        <f t="shared" si="5"/>
        <v>-956612194.39997935</v>
      </c>
      <c r="L32" s="208">
        <f t="shared" si="5"/>
        <v>-806751226.67978632</v>
      </c>
      <c r="M32" s="208">
        <f t="shared" si="5"/>
        <v>-867677440.80249619</v>
      </c>
      <c r="N32" s="208">
        <f t="shared" si="5"/>
        <v>-675192801.21452236</v>
      </c>
      <c r="O32" s="208">
        <f t="shared" si="5"/>
        <v>-605078984.24594021</v>
      </c>
      <c r="P32" s="208">
        <f t="shared" si="5"/>
        <v>-538585343.4326365</v>
      </c>
      <c r="Q32" s="208">
        <f t="shared" si="5"/>
        <v>-475536265.50360262</v>
      </c>
      <c r="R32" s="208">
        <f t="shared" si="5"/>
        <v>-415764099.06288159</v>
      </c>
      <c r="S32" s="208">
        <f t="shared" si="5"/>
        <v>-352987332.62355721</v>
      </c>
      <c r="T32" s="208">
        <f t="shared" si="5"/>
        <v>-293174782.35087752</v>
      </c>
      <c r="U32" s="208">
        <f t="shared" si="5"/>
        <v>-242302289.54876387</v>
      </c>
      <c r="V32" s="208">
        <f t="shared" si="5"/>
        <v>-194109427.88041532</v>
      </c>
      <c r="W32" s="208">
        <f t="shared" si="5"/>
        <v>-148463720.27570868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2:36" s="92" customFormat="1" ht="18" customHeight="1">
      <c r="B33" s="2"/>
      <c r="C33" s="2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2:36" s="92" customFormat="1" ht="18" customHeight="1">
      <c r="B34" s="6" t="s">
        <v>197</v>
      </c>
      <c r="C34" s="6"/>
      <c r="D34" s="214">
        <v>0</v>
      </c>
      <c r="E34" s="214">
        <f>D37</f>
        <v>1937916666.6666665</v>
      </c>
      <c r="F34" s="214">
        <f t="shared" ref="F34:W34" si="6">E37</f>
        <v>2210353555.5555553</v>
      </c>
      <c r="G34" s="214">
        <f>F37</f>
        <v>3236610580.6098166</v>
      </c>
      <c r="H34" s="214">
        <f t="shared" si="6"/>
        <v>4045177959.708807</v>
      </c>
      <c r="I34" s="214">
        <f t="shared" si="6"/>
        <v>150000000.00000039</v>
      </c>
      <c r="J34" s="214">
        <f t="shared" si="6"/>
        <v>149999999.99999988</v>
      </c>
      <c r="K34" s="214">
        <f t="shared" si="6"/>
        <v>150000000.00000024</v>
      </c>
      <c r="L34" s="214">
        <f t="shared" si="6"/>
        <v>149999999.99999994</v>
      </c>
      <c r="M34" s="214">
        <f t="shared" si="6"/>
        <v>149999999.99999997</v>
      </c>
      <c r="N34" s="214">
        <f t="shared" si="6"/>
        <v>150000000.00000012</v>
      </c>
      <c r="O34" s="214">
        <f t="shared" si="6"/>
        <v>150000000.00000012</v>
      </c>
      <c r="P34" s="214">
        <f t="shared" si="6"/>
        <v>150000000.00000012</v>
      </c>
      <c r="Q34" s="214">
        <f t="shared" si="6"/>
        <v>150000000.00000012</v>
      </c>
      <c r="R34" s="214">
        <f t="shared" si="6"/>
        <v>150000000.00000012</v>
      </c>
      <c r="S34" s="214">
        <f t="shared" si="6"/>
        <v>150000000.00000012</v>
      </c>
      <c r="T34" s="214">
        <f t="shared" si="6"/>
        <v>150000000.00000012</v>
      </c>
      <c r="U34" s="214">
        <f t="shared" si="6"/>
        <v>150000000.00000012</v>
      </c>
      <c r="V34" s="214">
        <f t="shared" si="6"/>
        <v>150000000.00000012</v>
      </c>
      <c r="W34" s="214">
        <f t="shared" si="6"/>
        <v>150000000.00000012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2:36" s="92" customFormat="1" ht="18" customHeight="1">
      <c r="B35" s="191" t="s">
        <v>198</v>
      </c>
      <c r="C35" s="2"/>
      <c r="D35" s="213">
        <f>D13+D25+D32</f>
        <v>1937916666.6666665</v>
      </c>
      <c r="E35" s="213">
        <f>E13+E25+E32</f>
        <v>272436888.88888884</v>
      </c>
      <c r="F35" s="213">
        <f t="shared" ref="F35:W35" si="7">F13+F25+F32</f>
        <v>1118371888.8888891</v>
      </c>
      <c r="G35" s="213">
        <f>G13+G25+G32</f>
        <v>813173122.29072165</v>
      </c>
      <c r="H35" s="213">
        <f t="shared" si="7"/>
        <v>-3890341929.3574886</v>
      </c>
      <c r="I35" s="213">
        <f t="shared" si="7"/>
        <v>5077831.8688833714</v>
      </c>
      <c r="J35" s="213">
        <f t="shared" si="7"/>
        <v>5331723.462328434</v>
      </c>
      <c r="K35" s="213">
        <f t="shared" si="7"/>
        <v>5598309.6354441643</v>
      </c>
      <c r="L35" s="213">
        <f t="shared" si="7"/>
        <v>5878225.1172167063</v>
      </c>
      <c r="M35" s="213">
        <f t="shared" si="7"/>
        <v>-123442727.46155035</v>
      </c>
      <c r="N35" s="213">
        <f t="shared" si="7"/>
        <v>0</v>
      </c>
      <c r="O35" s="213">
        <f t="shared" si="7"/>
        <v>0</v>
      </c>
      <c r="P35" s="213">
        <f t="shared" si="7"/>
        <v>0</v>
      </c>
      <c r="Q35" s="213">
        <f t="shared" si="7"/>
        <v>0</v>
      </c>
      <c r="R35" s="213">
        <f t="shared" si="7"/>
        <v>0</v>
      </c>
      <c r="S35" s="213">
        <f t="shared" si="7"/>
        <v>0</v>
      </c>
      <c r="T35" s="213">
        <f t="shared" si="7"/>
        <v>0</v>
      </c>
      <c r="U35" s="213">
        <f t="shared" si="7"/>
        <v>0</v>
      </c>
      <c r="V35" s="213">
        <f t="shared" si="7"/>
        <v>0</v>
      </c>
      <c r="W35" s="213">
        <f t="shared" si="7"/>
        <v>0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 s="92" customFormat="1" ht="18" customHeight="1">
      <c r="B36" s="191" t="s">
        <v>199</v>
      </c>
      <c r="C36" s="2"/>
      <c r="D36" s="213">
        <f>-(('Assumptions Processing'!F41)/12)*'Control Panel'!$C$88</f>
        <v>0</v>
      </c>
      <c r="E36" s="213">
        <f>-(('Assumptions Processing'!G41)/12)*'Control Panel'!$C$88-SUM($D$36:D36)</f>
        <v>0</v>
      </c>
      <c r="F36" s="213">
        <f>-(('Assumptions Processing'!H41)/12)*'Control Panel'!$C$88-SUM($D$36:E36)</f>
        <v>-92114863.834628031</v>
      </c>
      <c r="G36" s="213">
        <f>-(('Assumptions Processing'!I41)/12)*'Control Panel'!$C$88-SUM($D$36:F36)</f>
        <v>-4605743.1917314082</v>
      </c>
      <c r="H36" s="213">
        <f>-(('Assumptions Processing'!J41)/12)*'Control Panel'!$C$88-SUM($D$36:G36)</f>
        <v>-4836030.3513179719</v>
      </c>
      <c r="I36" s="213">
        <f>-(('Assumptions Processing'!K41)/12)*'Control Panel'!$C$88-SUM($D$36:H36)</f>
        <v>-5077831.868883878</v>
      </c>
      <c r="J36" s="213">
        <f>-(('Assumptions Processing'!L41)/12)*'Control Panel'!$C$88-SUM($D$36:I36)</f>
        <v>-5331723.4623280764</v>
      </c>
      <c r="K36" s="213">
        <f>-(('Assumptions Processing'!M41)/12)*'Control Panel'!$C$88-SUM($D$36:J36)</f>
        <v>-5598309.6354444623</v>
      </c>
      <c r="L36" s="213">
        <f>-(('Assumptions Processing'!N41)/12)*'Control Panel'!$C$88-SUM($D$36:K36)</f>
        <v>-5878225.1172166765</v>
      </c>
      <c r="M36" s="213">
        <f>-(('Assumptions Processing'!O41)/12)*'Control Panel'!$C$88-SUM($D$36:L36)</f>
        <v>123442727.4615505</v>
      </c>
      <c r="N36" s="213">
        <f>-(('Assumptions Processing'!P41)/12)*'Control Panel'!$C$88-SUM($D$36:M36)</f>
        <v>0</v>
      </c>
      <c r="O36" s="213">
        <f>-(('Assumptions Processing'!Q41)/12)*'Control Panel'!$C$88-SUM($D$36:N36)</f>
        <v>0</v>
      </c>
      <c r="P36" s="213">
        <f>-(('Assumptions Processing'!R41)/12)*'Control Panel'!$C$88-SUM($D$36:O36)</f>
        <v>0</v>
      </c>
      <c r="Q36" s="213">
        <f>-(('Assumptions Processing'!S41)/12)*'Control Panel'!$C$88-SUM($D$36:P36)</f>
        <v>0</v>
      </c>
      <c r="R36" s="213">
        <f>-(('Assumptions Processing'!T41)/12)*'Control Panel'!$C$88-SUM($D$36:Q36)</f>
        <v>0</v>
      </c>
      <c r="S36" s="213">
        <f>-(('Assumptions Processing'!U41)/12)*'Control Panel'!$C$88-SUM($D$36:R36)</f>
        <v>0</v>
      </c>
      <c r="T36" s="213">
        <f>-(('Assumptions Processing'!V41)/12)*'Control Panel'!$C$88-SUM($D$36:S36)</f>
        <v>0</v>
      </c>
      <c r="U36" s="213">
        <f>-(('Assumptions Processing'!W41)/12)*'Control Panel'!$C$88-SUM($D$36:T36)</f>
        <v>0</v>
      </c>
      <c r="V36" s="213">
        <f>-(('Assumptions Processing'!X41)/12)*'Control Panel'!$C$88-SUM($D$36:U36)</f>
        <v>0</v>
      </c>
      <c r="W36" s="213">
        <f>-(('Assumptions Processing'!Y41)/12)*'Control Panel'!$C$88-SUM($D$36:V36)</f>
        <v>0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 s="92" customFormat="1" ht="18" customHeight="1" thickBot="1">
      <c r="B37" s="176" t="s">
        <v>200</v>
      </c>
      <c r="C37" s="177"/>
      <c r="D37" s="178">
        <f>SUM(D34:D36)</f>
        <v>1937916666.6666665</v>
      </c>
      <c r="E37" s="178">
        <f>SUM(E34:E36)</f>
        <v>2210353555.5555553</v>
      </c>
      <c r="F37" s="178">
        <f t="shared" ref="F37:W37" si="8">SUM(F34:F36)</f>
        <v>3236610580.6098166</v>
      </c>
      <c r="G37" s="178">
        <f>SUM(G34:G36)</f>
        <v>4045177959.708807</v>
      </c>
      <c r="H37" s="178">
        <f t="shared" si="8"/>
        <v>150000000.00000039</v>
      </c>
      <c r="I37" s="178">
        <f t="shared" si="8"/>
        <v>149999999.99999988</v>
      </c>
      <c r="J37" s="178">
        <f t="shared" si="8"/>
        <v>150000000.00000024</v>
      </c>
      <c r="K37" s="178">
        <f t="shared" si="8"/>
        <v>149999999.99999994</v>
      </c>
      <c r="L37" s="178">
        <f t="shared" si="8"/>
        <v>149999999.99999997</v>
      </c>
      <c r="M37" s="178">
        <f t="shared" si="8"/>
        <v>150000000.00000012</v>
      </c>
      <c r="N37" s="178">
        <f t="shared" si="8"/>
        <v>150000000.00000012</v>
      </c>
      <c r="O37" s="178">
        <f t="shared" si="8"/>
        <v>150000000.00000012</v>
      </c>
      <c r="P37" s="178">
        <f t="shared" si="8"/>
        <v>150000000.00000012</v>
      </c>
      <c r="Q37" s="178">
        <f t="shared" si="8"/>
        <v>150000000.00000012</v>
      </c>
      <c r="R37" s="178">
        <f t="shared" si="8"/>
        <v>150000000.00000012</v>
      </c>
      <c r="S37" s="178">
        <f t="shared" si="8"/>
        <v>150000000.00000012</v>
      </c>
      <c r="T37" s="178">
        <f t="shared" si="8"/>
        <v>150000000.00000012</v>
      </c>
      <c r="U37" s="178">
        <f t="shared" si="8"/>
        <v>150000000.00000012</v>
      </c>
      <c r="V37" s="178">
        <f t="shared" si="8"/>
        <v>150000000.00000012</v>
      </c>
      <c r="W37" s="178">
        <f t="shared" si="8"/>
        <v>150000000.00000012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2:36" ht="18" customHeight="1" thickTop="1">
      <c r="B38" s="94"/>
      <c r="D38" s="138"/>
      <c r="E38" s="138"/>
      <c r="F38" s="138"/>
      <c r="G38" s="156"/>
      <c r="H38" s="156"/>
      <c r="I38" s="156"/>
      <c r="J38" s="156"/>
      <c r="K38" s="156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2:36" s="200" customFormat="1" ht="18" customHeight="1">
      <c r="B39" s="107" t="s">
        <v>201</v>
      </c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</row>
    <row r="40" spans="2:36" s="41" customFormat="1" ht="18" customHeight="1">
      <c r="B40" s="308"/>
      <c r="C40" s="2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2:36" ht="18" customHeight="1">
      <c r="B41" s="75" t="s">
        <v>202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</row>
    <row r="42" spans="2:36" s="77" customFormat="1" ht="18" customHeight="1">
      <c r="B42" s="80" t="s">
        <v>203</v>
      </c>
      <c r="C42" s="2"/>
      <c r="D42" s="138">
        <f>D35</f>
        <v>1937916666.6666665</v>
      </c>
      <c r="E42" s="138">
        <f t="shared" ref="E42:W42" si="9">E35</f>
        <v>272436888.88888884</v>
      </c>
      <c r="F42" s="138">
        <f t="shared" si="9"/>
        <v>1118371888.8888891</v>
      </c>
      <c r="G42" s="138">
        <f t="shared" si="9"/>
        <v>813173122.29072165</v>
      </c>
      <c r="H42" s="138">
        <f t="shared" si="9"/>
        <v>-3890341929.3574886</v>
      </c>
      <c r="I42" s="138">
        <f t="shared" si="9"/>
        <v>5077831.8688833714</v>
      </c>
      <c r="J42" s="138">
        <f t="shared" si="9"/>
        <v>5331723.462328434</v>
      </c>
      <c r="K42" s="138">
        <f t="shared" si="9"/>
        <v>5598309.6354441643</v>
      </c>
      <c r="L42" s="138">
        <f t="shared" si="9"/>
        <v>5878225.1172167063</v>
      </c>
      <c r="M42" s="138">
        <f t="shared" si="9"/>
        <v>-123442727.46155035</v>
      </c>
      <c r="N42" s="138">
        <f t="shared" si="9"/>
        <v>0</v>
      </c>
      <c r="O42" s="138">
        <f t="shared" si="9"/>
        <v>0</v>
      </c>
      <c r="P42" s="138">
        <f t="shared" si="9"/>
        <v>0</v>
      </c>
      <c r="Q42" s="138">
        <f t="shared" si="9"/>
        <v>0</v>
      </c>
      <c r="R42" s="138">
        <f t="shared" si="9"/>
        <v>0</v>
      </c>
      <c r="S42" s="138">
        <f t="shared" si="9"/>
        <v>0</v>
      </c>
      <c r="T42" s="138">
        <f t="shared" si="9"/>
        <v>0</v>
      </c>
      <c r="U42" s="138">
        <f t="shared" si="9"/>
        <v>0</v>
      </c>
      <c r="V42" s="138">
        <f t="shared" si="9"/>
        <v>0</v>
      </c>
      <c r="W42" s="138">
        <f t="shared" si="9"/>
        <v>0</v>
      </c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2:36" s="77" customFormat="1" ht="18" customHeight="1">
      <c r="B43" s="175" t="s">
        <v>204</v>
      </c>
      <c r="C43" s="2"/>
      <c r="D43" s="138">
        <f>IF('Income Statement'!E36&lt;0,-'Income Statement'!E36,0)</f>
        <v>32500000</v>
      </c>
      <c r="E43" s="138">
        <f>IF('Income Statement'!F36&lt;0,-'Income Statement'!F36,0)</f>
        <v>75000000</v>
      </c>
      <c r="F43" s="138">
        <f>IF('Income Statement'!G36&lt;0,-'Income Statement'!G36,0)</f>
        <v>125000000</v>
      </c>
      <c r="G43" s="138">
        <f>IF('Income Statement'!H36&lt;0,-'Income Statement'!H36,0)</f>
        <v>139002139.76201221</v>
      </c>
      <c r="H43" s="138">
        <f>IF('Income Statement'!I36&lt;0,-'Income Statement'!I36,0)</f>
        <v>116264762.76274961</v>
      </c>
      <c r="I43" s="138">
        <f>IF('Income Statement'!J36&lt;0,-'Income Statement'!J36,0)</f>
        <v>91991648.809837431</v>
      </c>
      <c r="J43" s="138">
        <f>IF('Income Statement'!K36&lt;0,-'Income Statement'!K36,0)</f>
        <v>66074101.607298359</v>
      </c>
      <c r="K43" s="138">
        <f>IF('Income Statement'!L36&lt;0,-'Income Statement'!L36,0)</f>
        <v>38395437.288492516</v>
      </c>
      <c r="L43" s="138">
        <f>IF('Income Statement'!M36&lt;0,-'Income Statement'!M36,0)</f>
        <v>18222497.863371756</v>
      </c>
      <c r="M43" s="138">
        <f>IF('Income Statement'!N36&lt;0,-'Income Statement'!N36,0)</f>
        <v>6172136.3730775332</v>
      </c>
      <c r="N43" s="138">
        <f>IF('Income Statement'!O36&lt;0,-'Income Statement'!O36,0)</f>
        <v>0</v>
      </c>
      <c r="O43" s="138">
        <f>IF('Income Statement'!P36&lt;0,-'Income Statement'!P36,0)</f>
        <v>0</v>
      </c>
      <c r="P43" s="138">
        <f>IF('Income Statement'!Q36&lt;0,-'Income Statement'!Q36,0)</f>
        <v>0</v>
      </c>
      <c r="Q43" s="138">
        <f>IF('Income Statement'!R36&lt;0,-'Income Statement'!R36,0)</f>
        <v>0</v>
      </c>
      <c r="R43" s="138">
        <f>IF('Income Statement'!S36&lt;0,-'Income Statement'!S36,0)</f>
        <v>0</v>
      </c>
      <c r="S43" s="138">
        <f>IF('Income Statement'!T36&lt;0,-'Income Statement'!T36,0)</f>
        <v>0</v>
      </c>
      <c r="T43" s="138">
        <f>IF('Income Statement'!U36&lt;0,-'Income Statement'!U36,0)</f>
        <v>0</v>
      </c>
      <c r="U43" s="138">
        <f>IF('Income Statement'!V36&lt;0,-'Income Statement'!V36,0)</f>
        <v>0</v>
      </c>
      <c r="V43" s="138">
        <f>IF('Income Statement'!W36&lt;0,-'Income Statement'!W36,0)</f>
        <v>0</v>
      </c>
      <c r="W43" s="138">
        <f>IF('Income Statement'!X36&lt;0,-'Income Statement'!X36,0)</f>
        <v>0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2:36" s="77" customFormat="1" ht="18" customHeight="1">
      <c r="B44" s="175" t="s">
        <v>205</v>
      </c>
      <c r="C44" s="2"/>
      <c r="D44" s="138">
        <f t="shared" ref="D44:W44" si="10">IF(SUM(D29:D30)&lt;0,-SUM(D29:D30),0)</f>
        <v>0</v>
      </c>
      <c r="E44" s="138">
        <f t="shared" si="10"/>
        <v>0</v>
      </c>
      <c r="F44" s="138">
        <f t="shared" si="10"/>
        <v>0</v>
      </c>
      <c r="G44" s="138">
        <f t="shared" si="10"/>
        <v>439914409.51951098</v>
      </c>
      <c r="H44" s="138">
        <f t="shared" si="10"/>
        <v>469580670.45099425</v>
      </c>
      <c r="I44" s="138">
        <f t="shared" si="10"/>
        <v>501343887.6654923</v>
      </c>
      <c r="J44" s="138">
        <f t="shared" si="10"/>
        <v>535358000.43607086</v>
      </c>
      <c r="K44" s="138">
        <f t="shared" si="10"/>
        <v>571788572.31616259</v>
      </c>
      <c r="L44" s="138">
        <f t="shared" si="10"/>
        <v>235129004.68866765</v>
      </c>
      <c r="M44" s="138">
        <f t="shared" si="10"/>
        <v>246885454.92310131</v>
      </c>
      <c r="N44" s="138">
        <f t="shared" si="10"/>
        <v>0</v>
      </c>
      <c r="O44" s="138">
        <f t="shared" si="10"/>
        <v>0</v>
      </c>
      <c r="P44" s="138">
        <f t="shared" si="10"/>
        <v>0</v>
      </c>
      <c r="Q44" s="138">
        <f t="shared" si="10"/>
        <v>0</v>
      </c>
      <c r="R44" s="138">
        <f t="shared" si="10"/>
        <v>0</v>
      </c>
      <c r="S44" s="138">
        <f t="shared" si="10"/>
        <v>0</v>
      </c>
      <c r="T44" s="138">
        <f t="shared" si="10"/>
        <v>0</v>
      </c>
      <c r="U44" s="138">
        <f t="shared" si="10"/>
        <v>0</v>
      </c>
      <c r="V44" s="138">
        <f t="shared" si="10"/>
        <v>0</v>
      </c>
      <c r="W44" s="138">
        <f t="shared" si="10"/>
        <v>0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2:36" s="77" customFormat="1" ht="18" customHeight="1">
      <c r="B45" s="175" t="s">
        <v>206</v>
      </c>
      <c r="C45" s="2"/>
      <c r="D45" s="138">
        <f>-D31</f>
        <v>0</v>
      </c>
      <c r="E45" s="138">
        <f t="shared" ref="E45:W45" si="11">-E31</f>
        <v>0</v>
      </c>
      <c r="F45" s="138">
        <f t="shared" si="11"/>
        <v>0</v>
      </c>
      <c r="G45" s="138">
        <f t="shared" si="11"/>
        <v>0</v>
      </c>
      <c r="H45" s="138">
        <f t="shared" si="11"/>
        <v>4656144562.9905882</v>
      </c>
      <c r="I45" s="138">
        <f t="shared" si="11"/>
        <v>663325771.23918605</v>
      </c>
      <c r="J45" s="138">
        <f t="shared" si="11"/>
        <v>564016330.49850166</v>
      </c>
      <c r="K45" s="138">
        <f t="shared" si="11"/>
        <v>384823622.08381671</v>
      </c>
      <c r="L45" s="138">
        <f t="shared" si="11"/>
        <v>571622221.99111867</v>
      </c>
      <c r="M45" s="138">
        <f t="shared" si="11"/>
        <v>620791985.87939489</v>
      </c>
      <c r="N45" s="138">
        <f t="shared" si="11"/>
        <v>675192801.21452236</v>
      </c>
      <c r="O45" s="138">
        <f t="shared" si="11"/>
        <v>605078984.24594021</v>
      </c>
      <c r="P45" s="138">
        <f t="shared" si="11"/>
        <v>538585343.4326365</v>
      </c>
      <c r="Q45" s="138">
        <f t="shared" si="11"/>
        <v>475536265.50360262</v>
      </c>
      <c r="R45" s="138">
        <f t="shared" si="11"/>
        <v>415764099.06288159</v>
      </c>
      <c r="S45" s="138">
        <f t="shared" si="11"/>
        <v>352987332.62355721</v>
      </c>
      <c r="T45" s="138">
        <f t="shared" si="11"/>
        <v>293174782.35087752</v>
      </c>
      <c r="U45" s="138">
        <f t="shared" si="11"/>
        <v>242302289.54876387</v>
      </c>
      <c r="V45" s="138">
        <f t="shared" si="11"/>
        <v>194109427.88041532</v>
      </c>
      <c r="W45" s="138">
        <f t="shared" si="11"/>
        <v>148463720.27570868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2:36" s="77" customFormat="1" ht="18" customHeight="1">
      <c r="B46" s="124" t="s">
        <v>207</v>
      </c>
      <c r="C46" s="179"/>
      <c r="D46" s="140">
        <f t="shared" ref="D46:L46" si="12">SUM(D42:D45)</f>
        <v>1970416666.6666665</v>
      </c>
      <c r="E46" s="140">
        <f t="shared" si="12"/>
        <v>347436888.88888884</v>
      </c>
      <c r="F46" s="140">
        <f t="shared" si="12"/>
        <v>1243371888.8888891</v>
      </c>
      <c r="G46" s="140">
        <f t="shared" si="12"/>
        <v>1392089671.5722449</v>
      </c>
      <c r="H46" s="140">
        <f t="shared" si="12"/>
        <v>1351648066.8468437</v>
      </c>
      <c r="I46" s="140">
        <f t="shared" si="12"/>
        <v>1261739139.5833993</v>
      </c>
      <c r="J46" s="140">
        <f t="shared" si="12"/>
        <v>1170780156.0041993</v>
      </c>
      <c r="K46" s="140">
        <f t="shared" si="12"/>
        <v>1000605941.323916</v>
      </c>
      <c r="L46" s="140">
        <f t="shared" si="12"/>
        <v>830851949.66037476</v>
      </c>
      <c r="M46" s="140">
        <f>SUM(M42:M45)</f>
        <v>750406849.71402335</v>
      </c>
      <c r="N46" s="140">
        <f>SUM(N42:N45)</f>
        <v>675192801.21452236</v>
      </c>
      <c r="O46" s="140">
        <f>SUM(O42:O45)</f>
        <v>605078984.24594021</v>
      </c>
      <c r="P46" s="140">
        <f t="shared" ref="P46:W46" si="13">SUM(P42:P45)</f>
        <v>538585343.4326365</v>
      </c>
      <c r="Q46" s="140">
        <f t="shared" si="13"/>
        <v>475536265.50360262</v>
      </c>
      <c r="R46" s="140">
        <f t="shared" si="13"/>
        <v>415764099.06288159</v>
      </c>
      <c r="S46" s="140">
        <f t="shared" si="13"/>
        <v>352987332.62355721</v>
      </c>
      <c r="T46" s="140">
        <f t="shared" si="13"/>
        <v>293174782.35087752</v>
      </c>
      <c r="U46" s="140">
        <f t="shared" si="13"/>
        <v>242302289.54876387</v>
      </c>
      <c r="V46" s="140">
        <f t="shared" si="13"/>
        <v>194109427.88041532</v>
      </c>
      <c r="W46" s="140">
        <f t="shared" si="13"/>
        <v>148463720.27570868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2:36" s="77" customFormat="1" ht="18" customHeight="1">
      <c r="B47" s="74"/>
      <c r="C47" s="2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2:36" s="77" customFormat="1" ht="18" customHeight="1">
      <c r="B48" s="80" t="s">
        <v>208</v>
      </c>
      <c r="C48" s="2"/>
      <c r="D48" s="138">
        <f t="shared" ref="D48:K49" si="14">D43</f>
        <v>32500000</v>
      </c>
      <c r="E48" s="138">
        <f t="shared" si="14"/>
        <v>75000000</v>
      </c>
      <c r="F48" s="138">
        <f t="shared" si="14"/>
        <v>125000000</v>
      </c>
      <c r="G48" s="138">
        <f t="shared" si="14"/>
        <v>139002139.76201221</v>
      </c>
      <c r="H48" s="138">
        <f t="shared" si="14"/>
        <v>116264762.76274961</v>
      </c>
      <c r="I48" s="138">
        <f t="shared" si="14"/>
        <v>91991648.809837431</v>
      </c>
      <c r="J48" s="138">
        <f t="shared" si="14"/>
        <v>66074101.607298359</v>
      </c>
      <c r="K48" s="138">
        <f t="shared" si="14"/>
        <v>38395437.288492516</v>
      </c>
      <c r="L48" s="138">
        <f t="shared" ref="L48:N49" si="15">L43</f>
        <v>18222497.863371756</v>
      </c>
      <c r="M48" s="138">
        <f t="shared" si="15"/>
        <v>6172136.3730775332</v>
      </c>
      <c r="N48" s="138">
        <f t="shared" si="15"/>
        <v>0</v>
      </c>
      <c r="O48" s="138">
        <f>O43</f>
        <v>0</v>
      </c>
      <c r="P48" s="138">
        <f t="shared" ref="P48:W48" si="16">P43</f>
        <v>0</v>
      </c>
      <c r="Q48" s="138">
        <f t="shared" si="16"/>
        <v>0</v>
      </c>
      <c r="R48" s="138">
        <f t="shared" si="16"/>
        <v>0</v>
      </c>
      <c r="S48" s="138">
        <f t="shared" si="16"/>
        <v>0</v>
      </c>
      <c r="T48" s="138">
        <f t="shared" si="16"/>
        <v>0</v>
      </c>
      <c r="U48" s="138">
        <f t="shared" si="16"/>
        <v>0</v>
      </c>
      <c r="V48" s="138">
        <f t="shared" si="16"/>
        <v>0</v>
      </c>
      <c r="W48" s="138">
        <f t="shared" si="16"/>
        <v>0</v>
      </c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2:36" s="77" customFormat="1" ht="18" customHeight="1">
      <c r="B49" s="80" t="s">
        <v>209</v>
      </c>
      <c r="C49" s="2"/>
      <c r="D49" s="138">
        <f t="shared" si="14"/>
        <v>0</v>
      </c>
      <c r="E49" s="138">
        <f t="shared" si="14"/>
        <v>0</v>
      </c>
      <c r="F49" s="138">
        <f t="shared" si="14"/>
        <v>0</v>
      </c>
      <c r="G49" s="138">
        <f t="shared" si="14"/>
        <v>439914409.51951098</v>
      </c>
      <c r="H49" s="138">
        <f t="shared" si="14"/>
        <v>469580670.45099425</v>
      </c>
      <c r="I49" s="138">
        <f t="shared" si="14"/>
        <v>501343887.6654923</v>
      </c>
      <c r="J49" s="138">
        <f t="shared" si="14"/>
        <v>535358000.43607086</v>
      </c>
      <c r="K49" s="138">
        <f t="shared" si="14"/>
        <v>571788572.31616259</v>
      </c>
      <c r="L49" s="138">
        <f t="shared" si="15"/>
        <v>235129004.68866765</v>
      </c>
      <c r="M49" s="138">
        <f t="shared" si="15"/>
        <v>246885454.92310131</v>
      </c>
      <c r="N49" s="138">
        <f t="shared" si="15"/>
        <v>0</v>
      </c>
      <c r="O49" s="138">
        <f>O44</f>
        <v>0</v>
      </c>
      <c r="P49" s="138">
        <f t="shared" ref="P49:W49" si="17">P44</f>
        <v>0</v>
      </c>
      <c r="Q49" s="138">
        <f t="shared" si="17"/>
        <v>0</v>
      </c>
      <c r="R49" s="138">
        <f t="shared" si="17"/>
        <v>0</v>
      </c>
      <c r="S49" s="138">
        <f t="shared" si="17"/>
        <v>0</v>
      </c>
      <c r="T49" s="138">
        <f t="shared" si="17"/>
        <v>0</v>
      </c>
      <c r="U49" s="138">
        <f t="shared" si="17"/>
        <v>0</v>
      </c>
      <c r="V49" s="138">
        <f t="shared" si="17"/>
        <v>0</v>
      </c>
      <c r="W49" s="138">
        <f t="shared" si="17"/>
        <v>0</v>
      </c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2:36" s="77" customFormat="1" ht="18" customHeight="1">
      <c r="B50" s="124" t="s">
        <v>210</v>
      </c>
      <c r="C50" s="179"/>
      <c r="D50" s="140">
        <f t="shared" ref="D50:L50" si="18">D48+D49</f>
        <v>32500000</v>
      </c>
      <c r="E50" s="140">
        <f t="shared" si="18"/>
        <v>75000000</v>
      </c>
      <c r="F50" s="140">
        <f t="shared" si="18"/>
        <v>125000000</v>
      </c>
      <c r="G50" s="140">
        <f t="shared" si="18"/>
        <v>578916549.28152323</v>
      </c>
      <c r="H50" s="140">
        <f t="shared" si="18"/>
        <v>585845433.21374393</v>
      </c>
      <c r="I50" s="140">
        <f t="shared" si="18"/>
        <v>593335536.47532976</v>
      </c>
      <c r="J50" s="140">
        <f t="shared" si="18"/>
        <v>601432102.04336917</v>
      </c>
      <c r="K50" s="140">
        <f t="shared" si="18"/>
        <v>610184009.60465515</v>
      </c>
      <c r="L50" s="140">
        <f t="shared" si="18"/>
        <v>253351502.55203941</v>
      </c>
      <c r="M50" s="140">
        <f>M48+M49</f>
        <v>253057591.29617885</v>
      </c>
      <c r="N50" s="140">
        <f>N48+N49</f>
        <v>0</v>
      </c>
      <c r="O50" s="140">
        <f>O48+O49</f>
        <v>0</v>
      </c>
      <c r="P50" s="140">
        <f t="shared" ref="P50:W50" si="19">P48+P49</f>
        <v>0</v>
      </c>
      <c r="Q50" s="140">
        <f t="shared" si="19"/>
        <v>0</v>
      </c>
      <c r="R50" s="140">
        <f t="shared" si="19"/>
        <v>0</v>
      </c>
      <c r="S50" s="140">
        <f t="shared" si="19"/>
        <v>0</v>
      </c>
      <c r="T50" s="140">
        <f t="shared" si="19"/>
        <v>0</v>
      </c>
      <c r="U50" s="140">
        <f t="shared" si="19"/>
        <v>0</v>
      </c>
      <c r="V50" s="140">
        <f t="shared" si="19"/>
        <v>0</v>
      </c>
      <c r="W50" s="140">
        <f t="shared" si="19"/>
        <v>0</v>
      </c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2:36" ht="18" customHeight="1">
      <c r="B51" s="10"/>
      <c r="D51" s="138" t="s">
        <v>92</v>
      </c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</row>
    <row r="52" spans="2:36" s="96" customFormat="1" ht="18" customHeight="1" thickBot="1">
      <c r="B52" s="176" t="s">
        <v>211</v>
      </c>
      <c r="C52" s="177"/>
      <c r="D52" s="178">
        <f t="shared" ref="D52:W52" si="20">IF(ISERROR(D46/D50),"N/A",D46/D50)</f>
        <v>60.628205128205124</v>
      </c>
      <c r="E52" s="178">
        <f t="shared" si="20"/>
        <v>4.6324918518518512</v>
      </c>
      <c r="F52" s="178">
        <f t="shared" si="20"/>
        <v>9.9469751111111133</v>
      </c>
      <c r="G52" s="178">
        <f t="shared" si="20"/>
        <v>2.4046465303158593</v>
      </c>
      <c r="H52" s="178">
        <f t="shared" si="20"/>
        <v>2.3071752210001422</v>
      </c>
      <c r="I52" s="178">
        <f t="shared" si="20"/>
        <v>2.1265187436415434</v>
      </c>
      <c r="J52" s="178">
        <f t="shared" si="20"/>
        <v>1.9466539149248381</v>
      </c>
      <c r="K52" s="178">
        <f t="shared" si="20"/>
        <v>1.6398429417582074</v>
      </c>
      <c r="L52" s="178">
        <f t="shared" si="20"/>
        <v>3.2794435450001505</v>
      </c>
      <c r="M52" s="178">
        <f t="shared" si="20"/>
        <v>2.9653599635971659</v>
      </c>
      <c r="N52" s="178" t="str">
        <f t="shared" si="20"/>
        <v>N/A</v>
      </c>
      <c r="O52" s="178" t="str">
        <f t="shared" si="20"/>
        <v>N/A</v>
      </c>
      <c r="P52" s="178" t="str">
        <f t="shared" si="20"/>
        <v>N/A</v>
      </c>
      <c r="Q52" s="178" t="str">
        <f t="shared" si="20"/>
        <v>N/A</v>
      </c>
      <c r="R52" s="178" t="str">
        <f t="shared" si="20"/>
        <v>N/A</v>
      </c>
      <c r="S52" s="178" t="str">
        <f t="shared" si="20"/>
        <v>N/A</v>
      </c>
      <c r="T52" s="178" t="str">
        <f t="shared" si="20"/>
        <v>N/A</v>
      </c>
      <c r="U52" s="178" t="str">
        <f t="shared" si="20"/>
        <v>N/A</v>
      </c>
      <c r="V52" s="178" t="str">
        <f t="shared" si="20"/>
        <v>N/A</v>
      </c>
      <c r="W52" s="178" t="str">
        <f t="shared" si="20"/>
        <v>N/A</v>
      </c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2:36" s="96" customFormat="1" ht="18" customHeight="1" thickTop="1">
      <c r="B53" s="95"/>
      <c r="C53" s="2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2:36" s="96" customFormat="1" ht="18" customHeight="1">
      <c r="B54" s="181" t="s">
        <v>212</v>
      </c>
      <c r="C54" s="2"/>
      <c r="D54" s="180">
        <f>IF(ISERROR(AVERAGE(D52:W52)),"N/A",AVERAGE(D52:W52))</f>
        <v>9.1877312951405976</v>
      </c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 ht="18" customHeight="1"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</row>
    <row r="56" spans="2:36" s="200" customFormat="1" ht="18" customHeight="1">
      <c r="B56" s="107" t="s">
        <v>213</v>
      </c>
      <c r="D56" s="201"/>
      <c r="E56" s="201"/>
      <c r="F56" s="201"/>
      <c r="G56" s="201"/>
      <c r="H56" s="201"/>
      <c r="I56" s="201"/>
      <c r="J56" s="201"/>
      <c r="K56" s="201"/>
      <c r="L56" s="201"/>
      <c r="M56" s="201"/>
      <c r="N56" s="201"/>
      <c r="O56" s="201"/>
      <c r="P56" s="201"/>
      <c r="Q56" s="201"/>
      <c r="R56" s="201"/>
      <c r="S56" s="201"/>
      <c r="T56" s="201"/>
      <c r="U56" s="201"/>
      <c r="V56" s="201"/>
      <c r="W56" s="201"/>
    </row>
    <row r="57" spans="2:36" ht="18" customHeight="1"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</row>
    <row r="58" spans="2:36" ht="18" customHeight="1">
      <c r="B58" s="203" t="s">
        <v>214</v>
      </c>
      <c r="D58" s="143">
        <f>-D28</f>
        <v>-1666666666.6666665</v>
      </c>
      <c r="E58" s="143">
        <f t="shared" ref="E58:W58" si="21">-E28</f>
        <v>-1666666666.6666665</v>
      </c>
      <c r="F58" s="143">
        <f t="shared" si="21"/>
        <v>-1666666666.666667</v>
      </c>
      <c r="G58" s="143">
        <f t="shared" si="21"/>
        <v>0</v>
      </c>
      <c r="H58" s="143">
        <f t="shared" si="21"/>
        <v>0</v>
      </c>
      <c r="I58" s="143">
        <f t="shared" si="21"/>
        <v>0</v>
      </c>
      <c r="J58" s="143">
        <f t="shared" si="21"/>
        <v>0</v>
      </c>
      <c r="K58" s="143">
        <f t="shared" si="21"/>
        <v>0</v>
      </c>
      <c r="L58" s="143">
        <f t="shared" si="21"/>
        <v>0</v>
      </c>
      <c r="M58" s="143">
        <f t="shared" si="21"/>
        <v>0</v>
      </c>
      <c r="N58" s="143">
        <f t="shared" si="21"/>
        <v>0</v>
      </c>
      <c r="O58" s="143">
        <f t="shared" si="21"/>
        <v>0</v>
      </c>
      <c r="P58" s="143">
        <f t="shared" si="21"/>
        <v>0</v>
      </c>
      <c r="Q58" s="143">
        <f t="shared" si="21"/>
        <v>0</v>
      </c>
      <c r="R58" s="143">
        <f t="shared" si="21"/>
        <v>0</v>
      </c>
      <c r="S58" s="143">
        <f t="shared" si="21"/>
        <v>0</v>
      </c>
      <c r="T58" s="143">
        <f t="shared" si="21"/>
        <v>0</v>
      </c>
      <c r="U58" s="143">
        <f t="shared" si="21"/>
        <v>0</v>
      </c>
      <c r="V58" s="143">
        <f t="shared" si="21"/>
        <v>0</v>
      </c>
      <c r="W58" s="143">
        <f t="shared" si="21"/>
        <v>0</v>
      </c>
    </row>
    <row r="59" spans="2:36" ht="18" customHeight="1">
      <c r="B59" s="203" t="s">
        <v>195</v>
      </c>
      <c r="D59" s="143">
        <f>-D31</f>
        <v>0</v>
      </c>
      <c r="E59" s="143">
        <f t="shared" ref="E59:W59" si="22">-E31</f>
        <v>0</v>
      </c>
      <c r="F59" s="143">
        <f t="shared" si="22"/>
        <v>0</v>
      </c>
      <c r="G59" s="143">
        <f t="shared" si="22"/>
        <v>0</v>
      </c>
      <c r="H59" s="143">
        <f t="shared" si="22"/>
        <v>4656144562.9905882</v>
      </c>
      <c r="I59" s="143">
        <f t="shared" si="22"/>
        <v>663325771.23918605</v>
      </c>
      <c r="J59" s="143">
        <f t="shared" si="22"/>
        <v>564016330.49850166</v>
      </c>
      <c r="K59" s="143">
        <f t="shared" si="22"/>
        <v>384823622.08381671</v>
      </c>
      <c r="L59" s="143">
        <f t="shared" si="22"/>
        <v>571622221.99111867</v>
      </c>
      <c r="M59" s="143">
        <f t="shared" si="22"/>
        <v>620791985.87939489</v>
      </c>
      <c r="N59" s="143">
        <f t="shared" si="22"/>
        <v>675192801.21452236</v>
      </c>
      <c r="O59" s="143">
        <f t="shared" si="22"/>
        <v>605078984.24594021</v>
      </c>
      <c r="P59" s="143">
        <f t="shared" si="22"/>
        <v>538585343.4326365</v>
      </c>
      <c r="Q59" s="143">
        <f t="shared" si="22"/>
        <v>475536265.50360262</v>
      </c>
      <c r="R59" s="143">
        <f t="shared" si="22"/>
        <v>415764099.06288159</v>
      </c>
      <c r="S59" s="143">
        <f t="shared" si="22"/>
        <v>352987332.62355721</v>
      </c>
      <c r="T59" s="143">
        <f t="shared" si="22"/>
        <v>293174782.35087752</v>
      </c>
      <c r="U59" s="143">
        <f t="shared" si="22"/>
        <v>242302289.54876387</v>
      </c>
      <c r="V59" s="143">
        <f t="shared" si="22"/>
        <v>194109427.88041532</v>
      </c>
      <c r="W59" s="143">
        <f t="shared" si="22"/>
        <v>148463720.27570868</v>
      </c>
    </row>
    <row r="60" spans="2:36" ht="18" customHeight="1">
      <c r="B60" s="243" t="s">
        <v>215</v>
      </c>
      <c r="C60" s="243"/>
      <c r="D60" s="226">
        <f>SUM(D58:D59)</f>
        <v>-1666666666.6666665</v>
      </c>
      <c r="E60" s="226">
        <f t="shared" ref="E60:W60" si="23">SUM(E58:E59)</f>
        <v>-1666666666.6666665</v>
      </c>
      <c r="F60" s="226">
        <f t="shared" si="23"/>
        <v>-1666666666.666667</v>
      </c>
      <c r="G60" s="226">
        <f t="shared" si="23"/>
        <v>0</v>
      </c>
      <c r="H60" s="226">
        <f t="shared" si="23"/>
        <v>4656144562.9905882</v>
      </c>
      <c r="I60" s="226">
        <f t="shared" si="23"/>
        <v>663325771.23918605</v>
      </c>
      <c r="J60" s="226">
        <f t="shared" si="23"/>
        <v>564016330.49850166</v>
      </c>
      <c r="K60" s="226">
        <f t="shared" si="23"/>
        <v>384823622.08381671</v>
      </c>
      <c r="L60" s="226">
        <f t="shared" si="23"/>
        <v>571622221.99111867</v>
      </c>
      <c r="M60" s="226">
        <f t="shared" si="23"/>
        <v>620791985.87939489</v>
      </c>
      <c r="N60" s="226">
        <f t="shared" si="23"/>
        <v>675192801.21452236</v>
      </c>
      <c r="O60" s="226">
        <f t="shared" si="23"/>
        <v>605078984.24594021</v>
      </c>
      <c r="P60" s="226">
        <f t="shared" si="23"/>
        <v>538585343.4326365</v>
      </c>
      <c r="Q60" s="226">
        <f t="shared" si="23"/>
        <v>475536265.50360262</v>
      </c>
      <c r="R60" s="226">
        <f t="shared" si="23"/>
        <v>415764099.06288159</v>
      </c>
      <c r="S60" s="226">
        <f t="shared" si="23"/>
        <v>352987332.62355721</v>
      </c>
      <c r="T60" s="226">
        <f t="shared" si="23"/>
        <v>293174782.35087752</v>
      </c>
      <c r="U60" s="226">
        <f t="shared" si="23"/>
        <v>242302289.54876387</v>
      </c>
      <c r="V60" s="226">
        <f t="shared" si="23"/>
        <v>194109427.88041532</v>
      </c>
      <c r="W60" s="226">
        <f t="shared" si="23"/>
        <v>148463720.27570868</v>
      </c>
    </row>
    <row r="61" spans="2:36" ht="18" customHeight="1">
      <c r="B61" s="244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</row>
    <row r="62" spans="2:36" ht="18" customHeight="1"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</row>
    <row r="63" spans="2:36" ht="18" customHeight="1"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</row>
    <row r="64" spans="2:36" ht="18" customHeight="1"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</row>
    <row r="65" spans="4:23" ht="18" customHeight="1"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</row>
    <row r="66" spans="4:23" ht="18" customHeight="1"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</row>
    <row r="67" spans="4:23" ht="18" customHeight="1"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</row>
    <row r="68" spans="4:23" ht="18" customHeight="1"/>
    <row r="69" spans="4:23" ht="18" customHeight="1"/>
    <row r="70" spans="4:23" ht="18" customHeight="1"/>
    <row r="71" spans="4:23" ht="18" customHeight="1"/>
    <row r="72" spans="4:23" ht="18" customHeight="1"/>
    <row r="73" spans="4:23" ht="18" customHeight="1"/>
    <row r="74" spans="4:23" ht="18" customHeight="1"/>
    <row r="75" spans="4:23" ht="18" customHeight="1"/>
    <row r="76" spans="4:23" ht="18" customHeight="1"/>
    <row r="77" spans="4:23" ht="18" customHeight="1"/>
    <row r="78" spans="4:23" ht="18" customHeight="1"/>
    <row r="79" spans="4:23" ht="18" customHeight="1"/>
    <row r="80" spans="4:23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</sheetData>
  <phoneticPr fontId="0" type="noConversion"/>
  <printOptions horizontalCentered="1" gridLinesSet="0"/>
  <pageMargins left="0.2" right="0.25" top="0.66" bottom="0.55000000000000004" header="0.17" footer="0.25"/>
  <pageSetup paperSize="9" scale="76" fitToHeight="2" orientation="landscape" r:id="rId1"/>
  <headerFooter alignWithMargins="0">
    <oddHeader>&amp;C&amp;"Times New Roman,Bold"&amp;16Cash Flow Statement</oddHeader>
    <oddFooter>&amp;L&amp;D &amp;T&amp;R&amp;F</oddFooter>
  </headerFooter>
  <rowBreaks count="1" manualBreakCount="1">
    <brk id="37" min="1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CAE778B6085C45BDB0EB93AE4996CE" ma:contentTypeVersion="20" ma:contentTypeDescription="Create a new document." ma:contentTypeScope="" ma:versionID="00fcc52d879f18f1a15cb03f1b098ad3">
  <xsd:schema xmlns:xsd="http://www.w3.org/2001/XMLSchema" xmlns:xs="http://www.w3.org/2001/XMLSchema" xmlns:p="http://schemas.microsoft.com/office/2006/metadata/properties" xmlns:ns1="http://schemas.microsoft.com/sharepoint/v3" xmlns:ns2="91e5f47d-d479-4206-a22c-5f1e4738f8d8" xmlns:ns3="ddc9329b-a4df-432a-936b-508bbf6b0dbc" targetNamespace="http://schemas.microsoft.com/office/2006/metadata/properties" ma:root="true" ma:fieldsID="58dc3bd5dc01ada31373598538990a02" ns1:_="" ns2:_="" ns3:_="">
    <xsd:import namespace="http://schemas.microsoft.com/sharepoint/v3"/>
    <xsd:import namespace="91e5f47d-d479-4206-a22c-5f1e4738f8d8"/>
    <xsd:import namespace="ddc9329b-a4df-432a-936b-508bbf6b0d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Notes" minOccurs="0"/>
                <xsd:element ref="ns3:TaxCatchAll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5f47d-d479-4206-a22c-5f1e4738f8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Notes" ma:index="16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e6a98a9-4721-402f-9b0e-578e6c4977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9329b-a4df-432a-936b-508bbf6b0db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b02e9bd-632b-489d-9b06-c37abfcbcb5d}" ma:internalName="TaxCatchAll" ma:showField="CatchAllData" ma:web="ddc9329b-a4df-432a-936b-508bbf6b0d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>
    <_ip_UnifiedCompliancePolicyUIAction xmlns="http://schemas.microsoft.com/sharepoint/v3" xsi:nil="true"/>
    <_ip_UnifiedCompliancePolicyProperties xmlns="http://schemas.microsoft.com/sharepoint/v3" xsi:nil="true"/>
    <SharedWithUsers xmlns="ddc9329b-a4df-432a-936b-508bbf6b0dbc">
      <UserInfo>
        <DisplayName/>
        <AccountId xsi:nil="true"/>
        <AccountType/>
      </UserInfo>
    </SharedWithUsers>
    <Notes xmlns="91e5f47d-d479-4206-a22c-5f1e4738f8d8" xsi:nil="true"/>
    <lcf76f155ced4ddcb4097134ff3c332f xmlns="91e5f47d-d479-4206-a22c-5f1e4738f8d8">
      <Terms xmlns="http://schemas.microsoft.com/office/infopath/2007/PartnerControls"/>
    </lcf76f155ced4ddcb4097134ff3c332f>
    <TaxCatchAll xmlns="ddc9329b-a4df-432a-936b-508bbf6b0dbc" xsi:nil="true"/>
  </documentManagement>
</p:properties>
</file>

<file path=customXml/itemProps1.xml><?xml version="1.0" encoding="utf-8"?>
<ds:datastoreItem xmlns:ds="http://schemas.openxmlformats.org/officeDocument/2006/customXml" ds:itemID="{38D4AF0B-822D-4CCE-9BC5-B0869F630F39}"/>
</file>

<file path=customXml/itemProps2.xml><?xml version="1.0" encoding="utf-8"?>
<ds:datastoreItem xmlns:ds="http://schemas.openxmlformats.org/officeDocument/2006/customXml" ds:itemID="{F6751268-4D1E-4FF2-B844-4542F39CCE84}"/>
</file>

<file path=customXml/itemProps3.xml><?xml version="1.0" encoding="utf-8"?>
<ds:datastoreItem xmlns:ds="http://schemas.openxmlformats.org/officeDocument/2006/customXml" ds:itemID="{1008A323-7A71-496A-BEF4-031FB79458EB}"/>
</file>

<file path=customXml/itemProps4.xml><?xml version="1.0" encoding="utf-8"?>
<ds:datastoreItem xmlns:ds="http://schemas.openxmlformats.org/officeDocument/2006/customXml" ds:itemID="{78665CE2-C0A4-4484-B19C-E5C03EBE56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Analysis Model</dc:title>
  <dc:subject/>
  <dc:creator>(undefined Excel user)</dc:creator>
  <cp:keywords/>
  <dc:description/>
  <cp:lastModifiedBy>Parcell, John H. (Ctr)</cp:lastModifiedBy>
  <cp:revision/>
  <dcterms:created xsi:type="dcterms:W3CDTF">2000-12-08T14:09:03Z</dcterms:created>
  <dcterms:modified xsi:type="dcterms:W3CDTF">2023-03-24T15:43:31Z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ContentTypeId">
    <vt:lpwstr>0x0101003BCAE778B6085C45BDB0EB93AE4996CE</vt:lpwstr>
  </property>
  <property fmtid="{D5CDD505-2E9C-101B-9397-08002B2CF9AE}" pid="6" name="Order">
    <vt:r8>15400</vt:r8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DocumentMSOLanguageID">
    <vt:lpwstr>msoLanguageIDEnglishUK</vt:lpwstr>
  </property>
  <property fmtid="{D5CDD505-2E9C-101B-9397-08002B2CF9AE}" pid="10" name="{A44787D4-0540-4523-9961-78E4036D8C6D}">
    <vt:lpwstr>{647AB874-1069-4937-A8AD-C823B8A3FE37}</vt:lpwstr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</Properties>
</file>