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3.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W:\680\internal\OWM\Georgia\Calibration Procedures for Website\Spreadsheets for Job Aids\Control Chart Templates (updated)\"/>
    </mc:Choice>
  </mc:AlternateContent>
  <xr:revisionPtr revIDLastSave="0" documentId="10_ncr:100000_{8ED4ECFA-F43A-4666-A250-FA4880EACD1C}" xr6:coauthVersionLast="31" xr6:coauthVersionMax="31" xr10:uidLastSave="{00000000-0000-0000-0000-000000000000}"/>
  <bookViews>
    <workbookView xWindow="0" yWindow="15" windowWidth="17145" windowHeight="9810" firstSheet="2" activeTab="2" xr2:uid="{00000000-000D-0000-FFFF-FFFF00000000}"/>
  </bookViews>
  <sheets>
    <sheet name="Software Technical Assessment" sheetId="13" r:id="rId1"/>
    <sheet name="Documentation" sheetId="12" r:id="rId2"/>
    <sheet name="Instructions" sheetId="11" r:id="rId3"/>
    <sheet name="Data Entry" sheetId="9" r:id="rId4"/>
    <sheet name="MPE Finder" sheetId="14" r:id="rId5"/>
    <sheet name="LAP Data Entry" sheetId="1" r:id="rId6"/>
    <sheet name="s(t) Chart" sheetId="2" r:id="rId7"/>
    <sheet name="s(w) Chart" sheetId="3" r:id="rId8"/>
    <sheet name="F Ratio Chart" sheetId="7" r:id="rId9"/>
    <sheet name="T Value Chart" sheetId="8" r:id="rId10"/>
    <sheet name="Chk vs Humidity" sheetId="4" r:id="rId11"/>
    <sheet name="Chk vs Pressure" sheetId="5" r:id="rId12"/>
    <sheet name="Chk vs Temperature" sheetId="6" r:id="rId13"/>
  </sheets>
  <externalReferences>
    <externalReference r:id="rId14"/>
    <externalReference r:id="rId15"/>
    <externalReference r:id="rId16"/>
  </externalReferences>
  <definedNames>
    <definedName name="__123Graph_A" hidden="1">[1]H145LPG!$I$99:$I$118</definedName>
    <definedName name="__123Graph_B" hidden="1">[1]H145LPG!$J$99:$J$118</definedName>
    <definedName name="__123Graph_LBL_A" hidden="1">[1]H145LPG!$I$120:$I$120</definedName>
    <definedName name="__123Graph_LBL_B" hidden="1">[1]H145LPG!$J$120:$J$120</definedName>
    <definedName name="__123Graph_X" hidden="1">[1]H145LPG!$G$99:$G$118</definedName>
    <definedName name="_Fill" hidden="1">[1]H145LPG!$F$67:$F$73</definedName>
    <definedName name="_xlnm._FilterDatabase" localSheetId="0" hidden="1">'Software Technical Assessment'!$C$5:$C$5</definedName>
    <definedName name="_Table1_In1" hidden="1">'[2]2 Liter'!$B$33</definedName>
    <definedName name="_Table1_Out" hidden="1">'[2]2 Liter'!$B$33</definedName>
    <definedName name="_Table2_In1" hidden="1">'[2]2 Liter'!$B$33</definedName>
    <definedName name="_Table2_Out" hidden="1">'[2]2 Liter'!$B$33</definedName>
    <definedName name="ASTM_ap">'[3]ASTM E 617 ap'!$B$3:$F$18</definedName>
    <definedName name="ASTM_dwt">'[3]ASTM E 617 dwt'!$B$3:$E$19</definedName>
    <definedName name="ASTM_g">'[3]ASTM E 617 g'!$B$3:$L$48</definedName>
    <definedName name="ASTM_gr">'[3]ASTM E 617 gr'!$B$3:$E$27</definedName>
    <definedName name="ASTM_lb">'[3]ASTM E 617 lb'!$B$3:$J$39</definedName>
    <definedName name="ASTM_oz">'[3]ASTM E 617 oz'!$B$3:$J$31</definedName>
    <definedName name="ASTM_ozt">'[3]ASTM E 617 oz t'!$B$3:$G$31</definedName>
    <definedName name="ChkID">'Data Entry'!$C$2</definedName>
    <definedName name="Design.Table">'Data Entry'!$A$13:$G$43</definedName>
    <definedName name="NIST_ap">'[3]NIST HB 105-1 ap'!$B$3:$I$21</definedName>
    <definedName name="NIST_g">'[3]NIST HB 105-1 g'!$B$3:$K$43</definedName>
    <definedName name="NIST_gr">'[3]NIST HB 105-1 gr'!$B$3:$I$27</definedName>
    <definedName name="NIST_lb">'[3]NIST HB 105-1 lb'!$B$3:$K$31</definedName>
    <definedName name="NIST_oz">'[3]NIST HB 105-1 oz'!$B$3:$I$31</definedName>
    <definedName name="OIML">'[3]OIML R 111'!$B$3:$K$32</definedName>
    <definedName name="PooledSwTable">'LAP Data Entry'!$U:$V</definedName>
    <definedName name="_xlnm.Print_Area" localSheetId="3">'Data Entry'!$A$1:$J$43</definedName>
    <definedName name="_xlnm.Print_Area" localSheetId="5">'LAP Data Entry'!$A$1:$P$4</definedName>
    <definedName name="_xlnm.Print_Area" localSheetId="4">'MPE Finder'!$A$1:$D$22</definedName>
    <definedName name="_xlnm.Print_Area" localSheetId="0">'Software Technical Assessment'!$A$1:$D$49</definedName>
    <definedName name="_xlnm.Print_Titles" localSheetId="3">'Data Entry'!$11:$12</definedName>
    <definedName name="_xlnm.Print_Titles" localSheetId="5">'LAP Data Entry'!$1:$1</definedName>
    <definedName name="_xlnm.Print_Titles" localSheetId="0">'Software Technical Assessment'!$1:$5</definedName>
    <definedName name="Spec">'Data Entry'!$G$9</definedName>
    <definedName name="Unit">'MPE Finder'!$G$4:$G$15</definedName>
    <definedName name="Weightcart">'[3]NIST HB 105-8'!$B$3:$C$11</definedName>
  </definedNames>
  <calcPr calcId="179017"/>
</workbook>
</file>

<file path=xl/calcChain.xml><?xml version="1.0" encoding="utf-8"?>
<calcChain xmlns="http://schemas.openxmlformats.org/spreadsheetml/2006/main">
  <c r="I26" i="9" l="1"/>
  <c r="I17" i="9"/>
  <c r="I18" i="9"/>
  <c r="I19" i="9"/>
  <c r="I20" i="9"/>
  <c r="I21" i="9"/>
  <c r="I22" i="9"/>
  <c r="I23" i="9"/>
  <c r="I24" i="9"/>
  <c r="I25" i="9"/>
  <c r="I27" i="9"/>
  <c r="I28" i="9"/>
  <c r="I29" i="9"/>
  <c r="I30" i="9"/>
  <c r="I31" i="9"/>
  <c r="I32" i="9"/>
  <c r="I33" i="9"/>
  <c r="I34" i="9"/>
  <c r="I35" i="9"/>
  <c r="I36" i="9"/>
  <c r="I37" i="9"/>
  <c r="I38" i="9"/>
  <c r="I39" i="9"/>
  <c r="I40" i="9"/>
  <c r="I41" i="9"/>
  <c r="I42" i="9"/>
  <c r="I13" i="9"/>
  <c r="AD1" i="1"/>
  <c r="AC1" i="1"/>
  <c r="K4" i="9"/>
  <c r="D6" i="14"/>
  <c r="M28" i="14" s="1"/>
  <c r="H30" i="14"/>
  <c r="D5" i="14"/>
  <c r="D2" i="14"/>
  <c r="D4" i="14" s="1"/>
  <c r="L10" i="9"/>
  <c r="O10" i="9"/>
  <c r="L9" i="9"/>
  <c r="R2" i="1"/>
  <c r="H3" i="9"/>
  <c r="Q2" i="1" s="1"/>
  <c r="H2" i="9"/>
  <c r="C22" i="9" s="1"/>
  <c r="L4" i="9"/>
  <c r="AB2" i="1"/>
  <c r="U2" i="1"/>
  <c r="J1" i="9" s="1"/>
  <c r="H1" i="9" s="1"/>
  <c r="T2" i="1"/>
  <c r="V2" i="1"/>
  <c r="A14" i="14"/>
  <c r="H27" i="14"/>
  <c r="J27" i="14" s="1"/>
  <c r="M27" i="14"/>
  <c r="O27" i="14" s="1"/>
  <c r="L6" i="9"/>
  <c r="G10" i="9"/>
  <c r="E7" i="9" s="1"/>
  <c r="I16" i="9"/>
  <c r="I15" i="9"/>
  <c r="I14" i="9"/>
  <c r="A12" i="14"/>
  <c r="H29" i="14"/>
  <c r="I29" i="14" s="1"/>
  <c r="H28" i="14"/>
  <c r="I28" i="14" s="1"/>
  <c r="D3" i="14"/>
  <c r="L16" i="14"/>
  <c r="C7" i="14"/>
  <c r="H12" i="14"/>
  <c r="I12" i="14" s="1"/>
  <c r="H7" i="14"/>
  <c r="K7" i="14" s="1"/>
  <c r="L7" i="9"/>
  <c r="L8" i="9"/>
  <c r="L5" i="9"/>
  <c r="J30" i="14" l="1"/>
  <c r="N28" i="14"/>
  <c r="L2" i="9"/>
  <c r="J29" i="14"/>
  <c r="I7" i="14"/>
  <c r="J3" i="9"/>
  <c r="W2" i="1"/>
  <c r="AA2" i="1"/>
  <c r="X2" i="1"/>
  <c r="Z2" i="1"/>
  <c r="J2" i="9"/>
  <c r="Y2" i="1"/>
  <c r="C18" i="9"/>
  <c r="L3" i="9"/>
  <c r="C35" i="9"/>
  <c r="C39" i="9"/>
  <c r="C29" i="9"/>
  <c r="C21" i="9"/>
  <c r="C33" i="9"/>
  <c r="C41" i="9"/>
  <c r="C31" i="9"/>
  <c r="C14" i="9"/>
  <c r="C38" i="9"/>
  <c r="C28" i="9"/>
  <c r="C16" i="9"/>
  <c r="C20" i="9"/>
  <c r="C26" i="9"/>
  <c r="C17" i="9"/>
  <c r="C24" i="9"/>
  <c r="C25" i="9"/>
  <c r="C32" i="9"/>
  <c r="C40" i="9"/>
  <c r="C37" i="9"/>
  <c r="C19" i="9"/>
  <c r="C13" i="9"/>
  <c r="C42" i="9"/>
  <c r="C36" i="9"/>
  <c r="C34" i="9"/>
  <c r="S2" i="1"/>
  <c r="C15" i="9"/>
  <c r="M23" i="14"/>
  <c r="H24" i="14"/>
  <c r="I30" i="14"/>
  <c r="N27" i="14"/>
  <c r="H13" i="14"/>
  <c r="M25" i="14"/>
  <c r="N25" i="14" s="1"/>
  <c r="D11" i="14"/>
  <c r="H15" i="14"/>
  <c r="AC2" i="1"/>
  <c r="I27" i="14"/>
  <c r="H9" i="14"/>
  <c r="I9" i="14" s="1"/>
  <c r="M21" i="14"/>
  <c r="L7" i="14"/>
  <c r="H25" i="14"/>
  <c r="I25" i="14" s="1"/>
  <c r="H11" i="14"/>
  <c r="H4" i="14"/>
  <c r="H26" i="14"/>
  <c r="I26" i="14" s="1"/>
  <c r="M22" i="14"/>
  <c r="M7" i="14"/>
  <c r="H31" i="14"/>
  <c r="M26" i="14"/>
  <c r="N26" i="14" s="1"/>
  <c r="H21" i="14"/>
  <c r="H20" i="14"/>
  <c r="M29" i="14"/>
  <c r="H5" i="14"/>
  <c r="H23" i="14"/>
  <c r="H10" i="14"/>
  <c r="I10" i="14" s="1"/>
  <c r="H14" i="14"/>
  <c r="M20" i="14"/>
  <c r="M30" i="14"/>
  <c r="M24" i="14"/>
  <c r="H8" i="14"/>
  <c r="H22" i="14"/>
  <c r="AD2" i="1"/>
  <c r="M31" i="14"/>
  <c r="C30" i="9"/>
  <c r="C27" i="9"/>
  <c r="C23" i="9"/>
  <c r="H6" i="14"/>
  <c r="I22" i="14" l="1"/>
  <c r="J22" i="14"/>
  <c r="N23" i="14"/>
  <c r="O23" i="14"/>
  <c r="N20" i="14"/>
  <c r="O20" i="14"/>
  <c r="L13" i="14"/>
  <c r="I13" i="14"/>
  <c r="K13" i="14"/>
  <c r="I31" i="14"/>
  <c r="J31" i="14"/>
  <c r="O21" i="14"/>
  <c r="N21" i="14"/>
  <c r="O31" i="14"/>
  <c r="N31" i="14"/>
  <c r="I24" i="14"/>
  <c r="J24" i="14"/>
  <c r="L5" i="14"/>
  <c r="I5" i="14"/>
  <c r="K5" i="14"/>
  <c r="J5" i="14"/>
  <c r="N29" i="14"/>
  <c r="O29" i="14"/>
  <c r="L15" i="14"/>
  <c r="K15" i="14"/>
  <c r="I15" i="14"/>
  <c r="K14" i="14"/>
  <c r="L14" i="14"/>
  <c r="I14" i="14"/>
  <c r="O22" i="14"/>
  <c r="N22" i="14"/>
  <c r="K8" i="14"/>
  <c r="I8" i="14"/>
  <c r="L8" i="14"/>
  <c r="I4" i="14"/>
  <c r="J4" i="14"/>
  <c r="K4" i="14"/>
  <c r="L4" i="14"/>
  <c r="L6" i="14"/>
  <c r="J6" i="14"/>
  <c r="K6" i="14"/>
  <c r="I6" i="14"/>
  <c r="N24" i="14"/>
  <c r="O24" i="14"/>
  <c r="I20" i="14"/>
  <c r="J20" i="14"/>
  <c r="L11" i="14"/>
  <c r="K11" i="14"/>
  <c r="I11" i="14"/>
  <c r="D15" i="14"/>
  <c r="D17" i="14"/>
  <c r="D18" i="14" s="1"/>
  <c r="C19" i="14" s="1"/>
  <c r="D16" i="14"/>
  <c r="D13" i="14"/>
  <c r="I23" i="14"/>
  <c r="J23" i="14"/>
  <c r="O30" i="14"/>
  <c r="N30" i="14"/>
  <c r="I21" i="14"/>
  <c r="J2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Wright</author>
    <author>Ken Fraley</author>
  </authors>
  <commentList>
    <comment ref="C6" authorId="0" shapeId="0" xr:uid="{00000000-0006-0000-0300-000001000000}">
      <text>
        <r>
          <rPr>
            <sz val="8"/>
            <color indexed="81"/>
            <rFont val="Tahoma"/>
            <family val="2"/>
          </rPr>
          <t>M5 - XP2003KL
M6 - AX1005
S4 - CC30002
S5 - CC5001
S6 - CC111
S7 - CCE6</t>
        </r>
      </text>
    </comment>
    <comment ref="H13" authorId="1" shapeId="0" xr:uid="{00000000-0006-0000-0300-000002000000}">
      <text>
        <r>
          <rPr>
            <sz val="9"/>
            <color indexed="10"/>
            <rFont val="Fixedsys"/>
            <family val="3"/>
          </rPr>
          <t>Design Matrix</t>
        </r>
        <r>
          <rPr>
            <sz val="9"/>
            <color indexed="81"/>
            <rFont val="Fixedsys"/>
            <family val="3"/>
          </rPr>
          <t xml:space="preserve">
   1 1 1
Y1 + -
Y2 +   -
Y3   + -</t>
        </r>
      </text>
    </comment>
    <comment ref="H14" authorId="1" shapeId="0" xr:uid="{00000000-0006-0000-0300-000003000000}">
      <text>
        <r>
          <rPr>
            <sz val="9"/>
            <color indexed="10"/>
            <rFont val="Fixedsys"/>
            <family val="3"/>
          </rPr>
          <t>Design Matrix</t>
        </r>
        <r>
          <rPr>
            <sz val="9"/>
            <color indexed="81"/>
            <rFont val="Fixedsys"/>
            <family val="3"/>
          </rPr>
          <t xml:space="preserve">
   1 1 1 1
Y1 + -
Y2 +   -
Y3 +     -
Y4   + -
Y5   +   -
Y6     + -</t>
        </r>
      </text>
    </comment>
    <comment ref="H15" authorId="1" shapeId="0" xr:uid="{00000000-0006-0000-0300-000004000000}">
      <text>
        <r>
          <rPr>
            <sz val="9"/>
            <color indexed="10"/>
            <rFont val="Fixedsys"/>
            <family val="3"/>
          </rPr>
          <t>Design Matrix</t>
        </r>
        <r>
          <rPr>
            <sz val="9"/>
            <color indexed="81"/>
            <rFont val="Fixedsys"/>
            <family val="3"/>
          </rPr>
          <t xml:space="preserve">
    1 1 1 1 1
Y1  + -
Y2  +   -
Y3  +     -
Y4  +       -
Y5    + -
Y6    +   -
Y7    +     -
Y8      + -
Y9      +   -
Y10       + -</t>
        </r>
      </text>
    </comment>
    <comment ref="H16" authorId="1" shapeId="0" xr:uid="{00000000-0006-0000-0300-000005000000}">
      <text>
        <r>
          <rPr>
            <sz val="9"/>
            <color indexed="10"/>
            <rFont val="Fixedsys"/>
            <family val="3"/>
          </rPr>
          <t>Design Matrix</t>
        </r>
        <r>
          <rPr>
            <sz val="9"/>
            <color indexed="81"/>
            <rFont val="Fixedsys"/>
            <family val="3"/>
          </rPr>
          <t xml:space="preserve">
    1 1 1 1 1
Y1  + -
Y2  +   -
Y3  +     -
Y4  +       -
Y5    + -
Y6    +   -
Y7    +     -
Y8      + -
Y9      +   -
Y10       + -</t>
        </r>
      </text>
    </comment>
    <comment ref="H17" authorId="1" shapeId="0" xr:uid="{00000000-0006-0000-0300-000006000000}">
      <text>
        <r>
          <rPr>
            <sz val="9"/>
            <color indexed="10"/>
            <rFont val="Fixedsys"/>
            <family val="3"/>
          </rPr>
          <t>Design Matrix</t>
        </r>
        <r>
          <rPr>
            <sz val="9"/>
            <color indexed="81"/>
            <rFont val="Fixedsys"/>
            <family val="3"/>
          </rPr>
          <t xml:space="preserve">
   1 1 1 1 1 1
Y1 +   -
Y2 +     -
Y3 +       -
Y4 +         -
Y5   + -
Y6   +   -
Y7   +     -
Y8   +       -</t>
        </r>
      </text>
    </comment>
    <comment ref="H18" authorId="1" shapeId="0" xr:uid="{00000000-0006-0000-0300-000007000000}">
      <text>
        <r>
          <rPr>
            <sz val="9"/>
            <color indexed="10"/>
            <rFont val="Fixedsys"/>
            <family val="3"/>
          </rPr>
          <t>Design Matrix</t>
        </r>
        <r>
          <rPr>
            <sz val="9"/>
            <color indexed="81"/>
            <rFont val="Fixedsys"/>
            <family val="3"/>
          </rPr>
          <t xml:space="preserve">
   2 1 1 1
Y1 + -   -
Y2 +   - -
Y3 + - -
Y4   +   -
Y5   + -
Y6     + -</t>
        </r>
      </text>
    </comment>
    <comment ref="H19" authorId="1" shapeId="0" xr:uid="{00000000-0006-0000-0300-000008000000}">
      <text>
        <r>
          <rPr>
            <sz val="9"/>
            <color indexed="10"/>
            <rFont val="Fixedsys"/>
            <family val="3"/>
          </rPr>
          <t>Design Matrix</t>
        </r>
        <r>
          <rPr>
            <sz val="9"/>
            <color indexed="81"/>
            <rFont val="Fixedsys"/>
            <family val="3"/>
          </rPr>
          <t xml:space="preserve">
   2 2 1 1
Y1 + - + -
Y2 + - - +
Y3 + -
Y4 +   - -
Y5   + - -
Y6     + -</t>
        </r>
      </text>
    </comment>
    <comment ref="H20" authorId="1" shapeId="0" xr:uid="{00000000-0006-0000-0300-000009000000}">
      <text>
        <r>
          <rPr>
            <sz val="9"/>
            <color indexed="10"/>
            <rFont val="Fixedsys"/>
            <family val="3"/>
          </rPr>
          <t>Design Matrix</t>
        </r>
        <r>
          <rPr>
            <sz val="9"/>
            <color indexed="81"/>
            <rFont val="Fixedsys"/>
            <family val="3"/>
          </rPr>
          <t xml:space="preserve">
    2 2 1 1 1
Y1  + - - +
Y2  + -   - +
Y3  + - +   -
Y4  + -
Y5  +   - -
Y6  +   -   -
Y7  +     - -
Y8    + - -
Y9    + -   -
Y10   +   - -</t>
        </r>
      </text>
    </comment>
    <comment ref="H21" authorId="1" shapeId="0" xr:uid="{00000000-0006-0000-0300-00000A000000}">
      <text>
        <r>
          <rPr>
            <sz val="9"/>
            <color indexed="10"/>
            <rFont val="Fixedsys"/>
            <family val="3"/>
          </rPr>
          <t>Design Matrix</t>
        </r>
        <r>
          <rPr>
            <sz val="9"/>
            <color indexed="81"/>
            <rFont val="Fixedsys"/>
            <family val="3"/>
          </rPr>
          <t xml:space="preserve">
    2 2 2 1 1 1
Y1  + -
Y2  +   -
Y3  +     - -
Y4  +     -   -
Y5  +       - -
Y6    + -
Y7    +   - -
Y8    +   -   -
Y9    +     - -
Y10     + - -
Y11     + -   -
Y12     +   - -</t>
        </r>
      </text>
    </comment>
    <comment ref="H22" authorId="1" shapeId="0" xr:uid="{00000000-0006-0000-0300-00000B000000}">
      <text>
        <r>
          <rPr>
            <sz val="9"/>
            <color indexed="10"/>
            <rFont val="Fixedsys"/>
            <family val="3"/>
          </rPr>
          <t>Design Matrix</t>
        </r>
        <r>
          <rPr>
            <sz val="9"/>
            <color indexed="81"/>
            <rFont val="Fixedsys"/>
            <family val="3"/>
          </rPr>
          <t xml:space="preserve">
   5 3 2 1 1
Y1 + - - + -
Y2 + - - - +
Y3 + - -
Y4 + -   - -
Y5   + - -
Y6   + -   -
Y7     + - -
Y8       + -</t>
        </r>
      </text>
    </comment>
    <comment ref="H23" authorId="1" shapeId="0" xr:uid="{00000000-0006-0000-0300-00000C000000}">
      <text>
        <r>
          <rPr>
            <sz val="9"/>
            <color indexed="10"/>
            <rFont val="Fixedsys"/>
            <family val="3"/>
          </rPr>
          <t>Design Matrix</t>
        </r>
        <r>
          <rPr>
            <sz val="9"/>
            <color indexed="81"/>
            <rFont val="Fixedsys"/>
            <family val="3"/>
          </rPr>
          <t xml:space="preserve">
   5 3 2 1 1
Y1 + - - + -
Y2 + - - - +
Y3 + - -
Y4 + -   - -
Y5   + - -
Y6   + -   -
Y7     + - -
Y8       + -</t>
        </r>
      </text>
    </comment>
    <comment ref="H24" authorId="1" shapeId="0" xr:uid="{00000000-0006-0000-0300-00000D000000}">
      <text>
        <r>
          <rPr>
            <sz val="9"/>
            <color indexed="10"/>
            <rFont val="Fixedsys"/>
            <family val="3"/>
          </rPr>
          <t>Design Matrix</t>
        </r>
        <r>
          <rPr>
            <sz val="9"/>
            <color indexed="81"/>
            <rFont val="Fixedsys"/>
            <family val="3"/>
          </rPr>
          <t xml:space="preserve">
    5 3 2 1 1 1
Y1  + - - + -  
Y2  + - -   + -
Y3  + - - -   +
Y4  + - -      
Y5  +   - - - -
Y6    + - + - -
Y7    + - - + -
Y8    + - - - +
Y9      + - -  
Y10     + -   -
Y11     +   - -</t>
        </r>
      </text>
    </comment>
    <comment ref="H25" authorId="1" shapeId="0" xr:uid="{00000000-0006-0000-0300-00000E000000}">
      <text>
        <r>
          <rPr>
            <sz val="9"/>
            <color indexed="10"/>
            <rFont val="Fixedsys"/>
            <family val="3"/>
          </rPr>
          <t>Design Matrix</t>
        </r>
        <r>
          <rPr>
            <sz val="9"/>
            <color indexed="81"/>
            <rFont val="Fixedsys"/>
            <family val="3"/>
          </rPr>
          <t xml:space="preserve">
    5 3 2 1 1 1
Y1  + - - + -  
Y2  + - -   + -
Y3  + - - -   +
Y4  + - -      
Y5  +   - - - -
Y6    + - + - -
Y7    + - - + -
Y8    + - - - +
Y9      + - -  
Y10     + -   -
Y11     +   - -</t>
        </r>
      </text>
    </comment>
    <comment ref="H26" authorId="1" shapeId="0" xr:uid="{00000000-0006-0000-0300-00000F000000}">
      <text>
        <r>
          <rPr>
            <sz val="9"/>
            <color indexed="10"/>
            <rFont val="Fixedsys"/>
            <family val="3"/>
          </rPr>
          <t>Design Matrix</t>
        </r>
        <r>
          <rPr>
            <sz val="9"/>
            <color indexed="81"/>
            <rFont val="Fixedsys"/>
            <family val="3"/>
          </rPr>
          <t xml:space="preserve">
   5 2 2 1 1
Y1 + - - -
Y2 + - -   -
Y3   + - + -
Y4   + - - +
Y5   + -
Y6   +   - -
Y7     + - -
Y8       + -</t>
        </r>
      </text>
    </comment>
    <comment ref="H27" authorId="1" shapeId="0" xr:uid="{00000000-0006-0000-0300-000010000000}">
      <text>
        <r>
          <rPr>
            <sz val="9"/>
            <color indexed="10"/>
            <rFont val="Fixedsys"/>
            <family val="3"/>
          </rPr>
          <t>Design Matrix</t>
        </r>
        <r>
          <rPr>
            <sz val="9"/>
            <color indexed="81"/>
            <rFont val="Fixedsys"/>
            <family val="3"/>
          </rPr>
          <t xml:space="preserve">
   5 2 2 1 1
Y1 + - - -
Y2 + - -   -
Y3   + - + -
Y4   + - - +
Y5   + -
Y6   +   - -
Y7     + - -
Y8       + -</t>
        </r>
      </text>
    </comment>
    <comment ref="H28" authorId="1" shapeId="0" xr:uid="{00000000-0006-0000-0300-000011000000}">
      <text>
        <r>
          <rPr>
            <sz val="9"/>
            <color indexed="10"/>
            <rFont val="Fixedsys"/>
            <family val="3"/>
          </rPr>
          <t>Design Matrix</t>
        </r>
        <r>
          <rPr>
            <sz val="9"/>
            <color indexed="81"/>
            <rFont val="Fixedsys"/>
            <family val="3"/>
          </rPr>
          <t xml:space="preserve">
   5 2 2 1 1 1
Y1 + - - - - +
Y2 + - - - + -
Y3 + - - + - -
Y4 + -   - - -
Y5 +   - - - -
Y6   + - + -
Y7   + - -   +
Y8   + -   + -</t>
        </r>
      </text>
    </comment>
    <comment ref="H29" authorId="1" shapeId="0" xr:uid="{00000000-0006-0000-0300-000012000000}">
      <text>
        <r>
          <rPr>
            <sz val="9"/>
            <color indexed="10"/>
            <rFont val="Fixedsys"/>
            <family val="3"/>
          </rPr>
          <t>Design Matrix</t>
        </r>
        <r>
          <rPr>
            <sz val="9"/>
            <color indexed="81"/>
            <rFont val="Fixedsys"/>
            <family val="3"/>
          </rPr>
          <t xml:space="preserve">
   5 2 2 1 1 1
Y1 + - - - - +
Y2 + - - - + -
Y3 + - - + - -
Y4 + -   - - -
Y5 +   - - - -
Y6   + - + -
Y7   + - -   +
Y8   + -   + -</t>
        </r>
      </text>
    </comment>
    <comment ref="H30" authorId="1" shapeId="0" xr:uid="{00000000-0006-0000-0300-000013000000}">
      <text>
        <r>
          <rPr>
            <sz val="9"/>
            <color indexed="10"/>
            <rFont val="Fixedsys"/>
            <family val="3"/>
          </rPr>
          <t>Design Matrix</t>
        </r>
        <r>
          <rPr>
            <sz val="9"/>
            <color indexed="81"/>
            <rFont val="Fixedsys"/>
            <family val="3"/>
          </rPr>
          <t xml:space="preserve">
   4 2 2 1 1
Y1 + - - + -
Y2 + - - - +
Y3 + -   - -
Y4 +   - - -
Y5   + - + -
Y6   + - - +</t>
        </r>
      </text>
    </comment>
    <comment ref="H31" authorId="1" shapeId="0" xr:uid="{00000000-0006-0000-0300-000014000000}">
      <text>
        <r>
          <rPr>
            <sz val="9"/>
            <color indexed="10"/>
            <rFont val="Fixedsys"/>
            <family val="3"/>
          </rPr>
          <t>Design Matrix</t>
        </r>
        <r>
          <rPr>
            <sz val="9"/>
            <color indexed="81"/>
            <rFont val="Fixedsys"/>
            <family val="3"/>
          </rPr>
          <t xml:space="preserve">
   4 2 2 1 1
Y1 + - - + -
Y2 + - - - +
Y3 + -   - -
Y4 +   - - -
Y5   + - + -
Y6   + - - +</t>
        </r>
      </text>
    </comment>
    <comment ref="H32" authorId="1" shapeId="0" xr:uid="{00000000-0006-0000-0300-000015000000}">
      <text>
        <r>
          <rPr>
            <sz val="9"/>
            <color indexed="10"/>
            <rFont val="Fixedsys"/>
            <family val="3"/>
          </rPr>
          <t>Design Matrix</t>
        </r>
        <r>
          <rPr>
            <sz val="9"/>
            <color indexed="81"/>
            <rFont val="Fixedsys"/>
            <family val="3"/>
          </rPr>
          <t xml:space="preserve">
   5 4 3 2 1
Y1 + - - +
Y2 + -   - +
Y3 + -     -
Y4 +   - -
Y5   + - - +
Y6   + -   -
Y7     + - -</t>
        </r>
      </text>
    </comment>
    <comment ref="H33" authorId="1" shapeId="0" xr:uid="{00000000-0006-0000-0300-000016000000}">
      <text>
        <r>
          <rPr>
            <sz val="9"/>
            <color indexed="10"/>
            <rFont val="Fixedsys"/>
            <family val="3"/>
          </rPr>
          <t>Design Matrix</t>
        </r>
        <r>
          <rPr>
            <sz val="9"/>
            <color indexed="81"/>
            <rFont val="Fixedsys"/>
            <family val="3"/>
          </rPr>
          <t xml:space="preserve">
   5 3 2 1 1
Y1 + - -    
Y2 + -   - -
Y3   + - -
Y4   + -   -
Y5     + - -
Y6       + -
</t>
        </r>
      </text>
    </comment>
    <comment ref="H34" authorId="1" shapeId="0" xr:uid="{00000000-0006-0000-0300-000017000000}">
      <text>
        <r>
          <rPr>
            <sz val="9"/>
            <color indexed="10"/>
            <rFont val="Fixedsys"/>
            <family val="3"/>
          </rPr>
          <t>Design Matrix</t>
        </r>
        <r>
          <rPr>
            <sz val="9"/>
            <color indexed="81"/>
            <rFont val="Fixedsys"/>
            <family val="3"/>
          </rPr>
          <t xml:space="preserve">
   5 3 2 1 1 1
Y1 + - -     
Y2 + -   - -
Y3 + -   -   -
Y4 + -     - -
Y5 +   - - - -
Y6   + - - 
Y7   + -   -
Y8   + -     -
Y9     + - -
Y10    + -   -
Y11    +   - -</t>
        </r>
      </text>
    </comment>
    <comment ref="H35" authorId="1" shapeId="0" xr:uid="{00000000-0006-0000-0300-000018000000}">
      <text>
        <r>
          <rPr>
            <sz val="9"/>
            <color indexed="10"/>
            <rFont val="Fixedsys"/>
            <family val="3"/>
          </rPr>
          <t>Design Matrix</t>
        </r>
        <r>
          <rPr>
            <sz val="9"/>
            <color indexed="81"/>
            <rFont val="Fixedsys"/>
            <family val="3"/>
          </rPr>
          <t xml:space="preserve">
   5 3 2 1 1 1
Y1 + - -     
Y2 + -   - -
Y3 + -   -   -
Y4 + -     - -
Y5 +   - - - -
Y6   + - - 
Y7   + -   -
Y8   + -     -
Y9     + - -
Y10    + -   -
Y11    +   - -</t>
        </r>
      </text>
    </comment>
    <comment ref="H36" authorId="1" shapeId="0" xr:uid="{00000000-0006-0000-0300-000019000000}">
      <text>
        <r>
          <rPr>
            <sz val="9"/>
            <color indexed="10"/>
            <rFont val="Fixedsys"/>
            <family val="3"/>
          </rPr>
          <t>Design Matrix</t>
        </r>
        <r>
          <rPr>
            <sz val="9"/>
            <color indexed="81"/>
            <rFont val="Fixedsys"/>
            <family val="3"/>
          </rPr>
          <t xml:space="preserve">
   5 5 3 2 1 1
Y1 +   - -     
Y2   + - -
Y3 +   -   - -
Y4   + -   - -
Y5     + - -
Y6     + -   - 
Y7       + - -
Y8         + -</t>
        </r>
      </text>
    </comment>
    <comment ref="H37" authorId="1" shapeId="0" xr:uid="{00000000-0006-0000-0300-00001A000000}">
      <text>
        <r>
          <rPr>
            <sz val="9"/>
            <color indexed="10"/>
            <rFont val="Fixedsys"/>
            <family val="3"/>
          </rPr>
          <t>Design Matrix</t>
        </r>
        <r>
          <rPr>
            <sz val="9"/>
            <color indexed="81"/>
            <rFont val="Fixedsys"/>
            <family val="3"/>
          </rPr>
          <t xml:space="preserve">
   5 2 2 1 1 1
Y1 + - - -   
Y2 + - -   -
Y3 + - -     -
Y4   + -
Y5   +   - -
Y6   +   -   -
Y7   +     - -   
Y8     + - -
Y9     + -   -
Y10    +   - -
</t>
        </r>
      </text>
    </comment>
    <comment ref="H38" authorId="1" shapeId="0" xr:uid="{00000000-0006-0000-0300-00001B000000}">
      <text>
        <r>
          <rPr>
            <sz val="9"/>
            <color indexed="10"/>
            <rFont val="Fixedsys"/>
            <family val="3"/>
          </rPr>
          <t>Design Matrix</t>
        </r>
        <r>
          <rPr>
            <sz val="9"/>
            <color indexed="81"/>
            <rFont val="Fixedsys"/>
            <family val="3"/>
          </rPr>
          <t xml:space="preserve">
   5 2 2 1 1 1
Y1 + - - -   
Y2 + - -   -
Y3 + - -     -
Y4   + -
Y5   +   - -
Y6   +   -   -
Y7   +     - -   
Y8     + - -
Y9     + -   -
Y10    +   - -
</t>
        </r>
      </text>
    </comment>
    <comment ref="H39" authorId="1" shapeId="0" xr:uid="{00000000-0006-0000-0300-00001C000000}">
      <text>
        <r>
          <rPr>
            <sz val="9"/>
            <color indexed="10"/>
            <rFont val="Fixedsys"/>
            <family val="3"/>
          </rPr>
          <t>Design Matrix</t>
        </r>
        <r>
          <rPr>
            <sz val="9"/>
            <color indexed="81"/>
            <rFont val="Fixedsys"/>
            <family val="3"/>
          </rPr>
          <t xml:space="preserve">
   5 2 2 1 1 1
Y1 + - - -   
Y2 + - -   -
Y3 + - -     -
Y4   + -
Y5   +   - -
Y6   +   -   -
Y7   +     - -   
Y8     + - -
Y9     + -   -
Y10    +   - -
</t>
        </r>
      </text>
    </comment>
    <comment ref="H40" authorId="1" shapeId="0" xr:uid="{00000000-0006-0000-0300-00001D000000}">
      <text>
        <r>
          <rPr>
            <sz val="9"/>
            <color indexed="10"/>
            <rFont val="Fixedsys"/>
            <family val="3"/>
          </rPr>
          <t>Design Matrix</t>
        </r>
        <r>
          <rPr>
            <sz val="9"/>
            <color indexed="81"/>
            <rFont val="Fixedsys"/>
            <family val="3"/>
          </rPr>
          <t xml:space="preserve">
    5 2 2 1 1 1 1
Y1  + - - -
Y2  + - -   -
Y3  + - -     -
Y4  + - -       -
Y5    +   + - - -
Y6      + + - - -
Y7    + + - - - -
Y8          + -
Y9          +   -
Y10           + -</t>
        </r>
      </text>
    </comment>
    <comment ref="H41" authorId="1" shapeId="0" xr:uid="{00000000-0006-0000-0300-00001E000000}">
      <text>
        <r>
          <rPr>
            <sz val="9"/>
            <color indexed="10"/>
            <rFont val="Fixedsys"/>
            <family val="3"/>
          </rPr>
          <t>Design Matrix</t>
        </r>
        <r>
          <rPr>
            <sz val="9"/>
            <color indexed="81"/>
            <rFont val="Fixedsys"/>
            <family val="3"/>
          </rPr>
          <t xml:space="preserve">
    3 2 1 1 1
Y1  + - -
Y2  + -   -
Y3  + -     -
Y4  +   - - -
Y5    + - -
Y6    + -   -
Y7    +   - -
Y8      + -
Y9      +   -
Y10       + -</t>
        </r>
      </text>
    </comment>
    <comment ref="H42" authorId="1" shapeId="0" xr:uid="{00000000-0006-0000-0300-00001F000000}">
      <text>
        <r>
          <rPr>
            <sz val="9"/>
            <color indexed="10"/>
            <rFont val="Fixedsys"/>
            <family val="3"/>
          </rPr>
          <t>Design Matrix</t>
        </r>
        <r>
          <rPr>
            <sz val="9"/>
            <color indexed="81"/>
            <rFont val="Fixedsys"/>
            <family val="3"/>
          </rPr>
          <t xml:space="preserve">
    3 2 1 1 1
Y1  + - -
Y2  + -   -
Y3  + -     -
Y4  +   - - -
Y5    + - -
Y6    + -   -
Y7    +   - -
Y8      + -
Y9      +   -
Y10       + -</t>
        </r>
      </text>
    </comment>
  </commentList>
</comments>
</file>

<file path=xl/sharedStrings.xml><?xml version="1.0" encoding="utf-8"?>
<sst xmlns="http://schemas.openxmlformats.org/spreadsheetml/2006/main" count="545" uniqueCount="371">
  <si>
    <t>n =</t>
  </si>
  <si>
    <t>Date</t>
  </si>
  <si>
    <t>Pooled d.f.</t>
  </si>
  <si>
    <t>Test Number</t>
  </si>
  <si>
    <t>Check Standard ID</t>
  </si>
  <si>
    <t>Check Observed Value</t>
  </si>
  <si>
    <t>Balance ID</t>
  </si>
  <si>
    <t>Degrees of Freedom</t>
  </si>
  <si>
    <t>Weighing Design ID</t>
  </si>
  <si>
    <t>Average Temp</t>
  </si>
  <si>
    <t>Average Pressure</t>
  </si>
  <si>
    <t>Average Humidity</t>
  </si>
  <si>
    <t>Average Air Density</t>
  </si>
  <si>
    <t xml:space="preserve">F Ratio </t>
  </si>
  <si>
    <t xml:space="preserve">T Value </t>
  </si>
  <si>
    <t>Starting Restraint ID</t>
  </si>
  <si>
    <t>Operator ID</t>
  </si>
  <si>
    <t>Weighing Design</t>
  </si>
  <si>
    <t>A.1.1</t>
  </si>
  <si>
    <t>DAW</t>
  </si>
  <si>
    <t>LWL Limit</t>
  </si>
  <si>
    <t>UWL Limit</t>
  </si>
  <si>
    <t>UCL Limit</t>
  </si>
  <si>
    <t>LCL Limit</t>
  </si>
  <si>
    <t>Laboratory:</t>
  </si>
  <si>
    <t>Check ID Code:</t>
  </si>
  <si>
    <t>Check Description:</t>
  </si>
  <si>
    <t>Balance ID Code:</t>
  </si>
  <si>
    <t>Balance Description:</t>
  </si>
  <si>
    <t>Procedure:</t>
  </si>
  <si>
    <t>Parameter:</t>
  </si>
  <si>
    <t>Control Chart Unit:</t>
  </si>
  <si>
    <t>mg</t>
  </si>
  <si>
    <t>SOP 28</t>
  </si>
  <si>
    <r>
      <t>Standard Deviation (s</t>
    </r>
    <r>
      <rPr>
        <vertAlign val="subscript"/>
        <sz val="11"/>
        <rFont val="Trebuchet MS"/>
        <family val="2"/>
      </rPr>
      <t>t</t>
    </r>
    <r>
      <rPr>
        <sz val="11"/>
        <rFont val="Trebuchet MS"/>
        <family val="2"/>
      </rPr>
      <t>) =</t>
    </r>
  </si>
  <si>
    <t>Check Standard Average =</t>
  </si>
  <si>
    <r>
      <t>Pooled s</t>
    </r>
    <r>
      <rPr>
        <vertAlign val="subscript"/>
        <sz val="11"/>
        <rFont val="Trebuchet MS"/>
        <family val="2"/>
      </rPr>
      <t>w</t>
    </r>
    <r>
      <rPr>
        <sz val="11"/>
        <rFont val="Trebuchet MS"/>
        <family val="2"/>
      </rPr>
      <t xml:space="preserve"> =</t>
    </r>
  </si>
  <si>
    <t>d.f =</t>
  </si>
  <si>
    <t>N/A</t>
  </si>
  <si>
    <t>Report True Mass Correction:</t>
  </si>
  <si>
    <t>Calibration Report U (k=2):</t>
  </si>
  <si>
    <r>
      <t>s</t>
    </r>
    <r>
      <rPr>
        <vertAlign val="subscript"/>
        <sz val="11"/>
        <rFont val="Trebuchet MS"/>
        <family val="2"/>
      </rPr>
      <t>b</t>
    </r>
  </si>
  <si>
    <r>
      <t>K</t>
    </r>
    <r>
      <rPr>
        <vertAlign val="subscript"/>
        <sz val="11"/>
        <rFont val="Trebuchet MS"/>
        <family val="2"/>
      </rPr>
      <t>1</t>
    </r>
  </si>
  <si>
    <r>
      <t>K</t>
    </r>
    <r>
      <rPr>
        <vertAlign val="subscript"/>
        <sz val="11"/>
        <rFont val="Trebuchet MS"/>
        <family val="2"/>
      </rPr>
      <t>2</t>
    </r>
  </si>
  <si>
    <t>Restraint Position</t>
  </si>
  <si>
    <t>Check Position</t>
  </si>
  <si>
    <t>Insert Row Here</t>
  </si>
  <si>
    <r>
      <t xml:space="preserve">1 </t>
    </r>
    <r>
      <rPr>
        <sz val="11"/>
        <rFont val="Trebuchet MS"/>
        <family val="2"/>
      </rPr>
      <t>1 1</t>
    </r>
  </si>
  <si>
    <r>
      <rPr>
        <sz val="11"/>
        <rFont val="Trebuchet MS"/>
        <family val="2"/>
      </rPr>
      <t>1 1</t>
    </r>
    <r>
      <rPr>
        <sz val="11"/>
        <color indexed="58"/>
        <rFont val="Trebuchet MS"/>
        <family val="2"/>
      </rPr>
      <t xml:space="preserve"> </t>
    </r>
    <r>
      <rPr>
        <sz val="11"/>
        <color indexed="10"/>
        <rFont val="Trebuchet MS"/>
        <family val="2"/>
      </rPr>
      <t>1</t>
    </r>
  </si>
  <si>
    <t>Instructions</t>
  </si>
  <si>
    <t>No.</t>
  </si>
  <si>
    <t>Description</t>
  </si>
  <si>
    <t>Modify horizontal chart axis on the temperature and humidity charts to match the requirements.</t>
  </si>
  <si>
    <t>Range Names</t>
  </si>
  <si>
    <t>Name</t>
  </si>
  <si>
    <t>Range</t>
  </si>
  <si>
    <t>ChkID</t>
  </si>
  <si>
    <t>='Data Entry'!$C$2</t>
  </si>
  <si>
    <t>Documentation</t>
  </si>
  <si>
    <t>Initials</t>
  </si>
  <si>
    <t>Software Technical Assessment</t>
  </si>
  <si>
    <t>Software Description</t>
  </si>
  <si>
    <t>Approval Date</t>
  </si>
  <si>
    <t>Assessed By</t>
  </si>
  <si>
    <t>Dan Wright</t>
  </si>
  <si>
    <t>Approved By</t>
  </si>
  <si>
    <t>Codes</t>
  </si>
  <si>
    <t>Assessment</t>
  </si>
  <si>
    <t>Pass/Fail</t>
  </si>
  <si>
    <t>Evidence</t>
  </si>
  <si>
    <t>A. Software Inspection</t>
  </si>
  <si>
    <t>Spreadsheet is clear and makes sense</t>
  </si>
  <si>
    <t>Pass</t>
  </si>
  <si>
    <t>Very well laid out</t>
  </si>
  <si>
    <t xml:space="preserve">There are instructions for use </t>
  </si>
  <si>
    <t>Instruction worksheet</t>
  </si>
  <si>
    <t>Instructions and data input appear on the visible portion of the first worksheet</t>
  </si>
  <si>
    <t>Clearly marked worksheets for instructions and data input</t>
  </si>
  <si>
    <t>Data-entry fields are labeled and color coded (it is recommended to avoid red and green)</t>
  </si>
  <si>
    <t>Light yellow for blank data entry cells, light blue for non-blank data entry cells</t>
  </si>
  <si>
    <t>The Standard Operating Procedure (SOP) used is clearly specified</t>
  </si>
  <si>
    <t>The number of digits to be rounded to is specified</t>
  </si>
  <si>
    <t>No rounding</t>
  </si>
  <si>
    <t>The user is warned/notified whenever data-entry fields are left blank</t>
  </si>
  <si>
    <t>Visual, blank data-entry cells are color coded</t>
  </si>
  <si>
    <t>Data-entry fields are “blank” when opened, preventing loss of old data and ensuring that old data is not used with the current calculations</t>
  </si>
  <si>
    <t>The software opens at the right location within the file</t>
  </si>
  <si>
    <t>Opens to the instruction worksheet</t>
  </si>
  <si>
    <t>Unused fields/cells are locked</t>
  </si>
  <si>
    <t>All unused cells are locked</t>
  </si>
  <si>
    <t>Rows/columns that the operator need not see are hidden</t>
  </si>
  <si>
    <t>Yes</t>
  </si>
  <si>
    <t>Unused sheets are removed</t>
  </si>
  <si>
    <t>Worksheets are named appropriately</t>
  </si>
  <si>
    <t>B. Mathematical Specification</t>
  </si>
  <si>
    <t>The correct SOP is used</t>
  </si>
  <si>
    <t>The formulae and methods chosen from that SOP are specified</t>
  </si>
  <si>
    <t>SOP 9 method as explained on Instructions worksheet</t>
  </si>
  <si>
    <t>Sources and references for formulae are specified</t>
  </si>
  <si>
    <t>SOP 9</t>
  </si>
  <si>
    <t>The chosen SOP, its methods, and its formulae, are appropriate to the level of precision/uncertainty</t>
  </si>
  <si>
    <t>C. Code review</t>
  </si>
  <si>
    <t>The formulae in the fields exactly match the SOP</t>
  </si>
  <si>
    <t>Upper / Lower control limits</t>
  </si>
  <si>
    <t>Repeated calculations appropriately reference the correct cells</t>
  </si>
  <si>
    <t>Uses absolute cell references</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</si>
  <si>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</si>
  <si>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</si>
  <si>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</si>
  <si>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</si>
  <si>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Fields, therefore their content, are categorized as “Number” and not “General” when appropriate, and vice versa</t>
  </si>
  <si>
    <t>“Number” cells are locked to a limited number of decimal places; this limit is appropriate to the values being used</t>
  </si>
  <si>
    <t>E. Component Testing</t>
  </si>
  <si>
    <t>Each macro used is functional</t>
  </si>
  <si>
    <t>No macros</t>
  </si>
  <si>
    <t>Each command/button is functional</t>
  </si>
  <si>
    <t>No command buttons</t>
  </si>
  <si>
    <t>Combinations of interdependent macros are functional</t>
  </si>
  <si>
    <t>Plotted graphs are accurate</t>
  </si>
  <si>
    <t>Charts depict correct information</t>
  </si>
  <si>
    <t>Worksheets/reports print properly, if needed to</t>
  </si>
  <si>
    <t>All worksheets and charts are formated for printing</t>
  </si>
  <si>
    <t>Conditional (color and non-color) formatting is functional</t>
  </si>
  <si>
    <t>For blank and nonblank cells</t>
  </si>
  <si>
    <t>F. Numerical Reference</t>
  </si>
  <si>
    <t>Look-up tables and lists match the latest calibration report</t>
  </si>
  <si>
    <t>Standards workbook is validated to latest calibration reports and Mass Tolerances workbook is validated to latest references</t>
  </si>
  <si>
    <t>Uncertainties match the latest Scope</t>
  </si>
  <si>
    <t>Values that reference another workbook or spreadsheet are dated</t>
  </si>
  <si>
    <t>When a master list’s date is updated, the file references (A) an old value, (B) a default value, (C) displays zero or (D) an error message, as desired by the user</t>
  </si>
  <si>
    <t>G. Embedded Data Evaluation</t>
  </si>
  <si>
    <t>Embedded data (conversion factors, reference values, etc) is correct</t>
  </si>
  <si>
    <t>No embedded data</t>
  </si>
  <si>
    <t>The evaluation of the embedded data is dated and documented</t>
  </si>
  <si>
    <t>H. Back-to-Back Testing</t>
  </si>
  <si>
    <t>Newer spreadsheets and older spreadsheets agree down to the level of intermediate calculations; this evaluation is dated and documented</t>
  </si>
  <si>
    <t>I. Analysis With Out Computer Assistance</t>
  </si>
  <si>
    <t>Hand calculations agree with those generated by the spreadsheet, or if they disagree, the differences are significantly smaller than the reported uncertainty</t>
  </si>
  <si>
    <t>J. Security</t>
  </si>
  <si>
    <t>Equation and calculation cells are protected against inadvertent editing</t>
  </si>
  <si>
    <t>Locked and password protected</t>
  </si>
  <si>
    <t>Cells are locked in place; they cannot be moved/dragged</t>
  </si>
  <si>
    <t>Confidentiality of passwords is appropriate</t>
  </si>
  <si>
    <t>Password hint in instructions</t>
  </si>
  <si>
    <t>Files are backed up automatically</t>
  </si>
  <si>
    <t>Manual backup</t>
  </si>
  <si>
    <t>Additional back-up is available at alternate facilities</t>
  </si>
  <si>
    <t>Backed-up to agency network drives</t>
  </si>
  <si>
    <t>Files on network drives cannot be accidentally deleted</t>
  </si>
  <si>
    <r>
      <t>Observed s</t>
    </r>
    <r>
      <rPr>
        <vertAlign val="subscript"/>
        <sz val="11"/>
        <rFont val="Trebuchet MS"/>
        <family val="2"/>
      </rPr>
      <t>w</t>
    </r>
  </si>
  <si>
    <r>
      <t>Accepted s</t>
    </r>
    <r>
      <rPr>
        <vertAlign val="subscript"/>
        <sz val="11"/>
        <rFont val="Trebuchet MS"/>
        <family val="2"/>
      </rPr>
      <t>w</t>
    </r>
  </si>
  <si>
    <r>
      <t>d.f.*s</t>
    </r>
    <r>
      <rPr>
        <vertAlign val="subscript"/>
        <sz val="11"/>
        <rFont val="Trebuchet MS"/>
        <family val="2"/>
      </rPr>
      <t>w</t>
    </r>
    <r>
      <rPr>
        <vertAlign val="superscript"/>
        <sz val="11"/>
        <rFont val="Trebuchet MS"/>
        <family val="2"/>
      </rPr>
      <t>2</t>
    </r>
  </si>
  <si>
    <r>
      <t>Pooled s</t>
    </r>
    <r>
      <rPr>
        <vertAlign val="subscript"/>
        <sz val="11"/>
        <rFont val="Trebuchet MS"/>
        <family val="2"/>
      </rPr>
      <t>w</t>
    </r>
  </si>
  <si>
    <t>T Value Mean</t>
  </si>
  <si>
    <t>Calibrated Value</t>
  </si>
  <si>
    <t>Design Matrix</t>
  </si>
  <si>
    <t>See Comment</t>
  </si>
  <si>
    <t>A.1.2</t>
  </si>
  <si>
    <t>A.1.4</t>
  </si>
  <si>
    <t>A.2.1</t>
  </si>
  <si>
    <t>B.1a</t>
  </si>
  <si>
    <t>B.3a</t>
  </si>
  <si>
    <t>B.4</t>
  </si>
  <si>
    <t>B.8</t>
  </si>
  <si>
    <t>C.1</t>
  </si>
  <si>
    <t>C.2</t>
  </si>
  <si>
    <t>C.9</t>
  </si>
  <si>
    <t>C.10</t>
  </si>
  <si>
    <t>C.2a</t>
  </si>
  <si>
    <t>C.9a</t>
  </si>
  <si>
    <t>D.1a</t>
  </si>
  <si>
    <t>D.14</t>
  </si>
  <si>
    <t>WA.C.5</t>
  </si>
  <si>
    <t>WA.C.10a</t>
  </si>
  <si>
    <t>WA.C.2a</t>
  </si>
  <si>
    <t>WA.C.1a</t>
  </si>
  <si>
    <t>2.3.4.1.17</t>
  </si>
  <si>
    <t>2.3.4.1.17a</t>
  </si>
  <si>
    <r>
      <t xml:space="preserve">1 1 </t>
    </r>
    <r>
      <rPr>
        <sz val="11"/>
        <rFont val="Trebuchet MS"/>
        <family val="2"/>
      </rPr>
      <t>1 1</t>
    </r>
  </si>
  <si>
    <r>
      <t xml:space="preserve">1 1 </t>
    </r>
    <r>
      <rPr>
        <sz val="11"/>
        <rFont val="Trebuchet MS"/>
        <family val="2"/>
      </rPr>
      <t>1 1 1</t>
    </r>
  </si>
  <si>
    <r>
      <t xml:space="preserve">1 1 </t>
    </r>
    <r>
      <rPr>
        <sz val="11"/>
        <rFont val="Trebuchet MS"/>
        <family val="2"/>
      </rPr>
      <t>1 1 1 1</t>
    </r>
  </si>
  <si>
    <r>
      <rPr>
        <sz val="11"/>
        <rFont val="Trebuchet MS"/>
        <family val="2"/>
      </rPr>
      <t xml:space="preserve">1 1 1 </t>
    </r>
    <r>
      <rPr>
        <sz val="11"/>
        <color indexed="10"/>
        <rFont val="Trebuchet MS"/>
        <family val="2"/>
      </rPr>
      <t>1</t>
    </r>
    <r>
      <rPr>
        <sz val="11"/>
        <rFont val="Trebuchet MS"/>
        <family val="2"/>
      </rPr>
      <t xml:space="preserve"> 1</t>
    </r>
  </si>
  <si>
    <r>
      <rPr>
        <sz val="11"/>
        <rFont val="Trebuchet MS"/>
        <family val="2"/>
      </rPr>
      <t xml:space="preserve">2 1 </t>
    </r>
    <r>
      <rPr>
        <sz val="11"/>
        <color indexed="10"/>
        <rFont val="Trebuchet MS"/>
        <family val="2"/>
      </rPr>
      <t>1 1</t>
    </r>
  </si>
  <si>
    <r>
      <rPr>
        <sz val="11"/>
        <rFont val="Trebuchet MS"/>
        <family val="2"/>
      </rPr>
      <t xml:space="preserve">2 2 </t>
    </r>
    <r>
      <rPr>
        <sz val="11"/>
        <color indexed="10"/>
        <rFont val="Trebuchet MS"/>
        <family val="2"/>
      </rPr>
      <t>1 1</t>
    </r>
  </si>
  <si>
    <r>
      <t xml:space="preserve">2 2 </t>
    </r>
    <r>
      <rPr>
        <sz val="11"/>
        <color indexed="10"/>
        <rFont val="Trebuchet MS"/>
        <family val="2"/>
      </rPr>
      <t>1 -1</t>
    </r>
  </si>
  <si>
    <r>
      <t xml:space="preserve">2 1 </t>
    </r>
    <r>
      <rPr>
        <sz val="11"/>
        <color indexed="10"/>
        <rFont val="Trebuchet MS"/>
        <family val="2"/>
      </rPr>
      <t>1 -1</t>
    </r>
  </si>
  <si>
    <r>
      <t xml:space="preserve">1 -1 </t>
    </r>
    <r>
      <rPr>
        <sz val="11"/>
        <rFont val="Trebuchet MS"/>
        <family val="2"/>
      </rPr>
      <t>1 1</t>
    </r>
  </si>
  <si>
    <r>
      <t xml:space="preserve">1 -1 </t>
    </r>
    <r>
      <rPr>
        <sz val="11"/>
        <rFont val="Trebuchet MS"/>
        <family val="2"/>
      </rPr>
      <t>1 1 1</t>
    </r>
  </si>
  <si>
    <r>
      <t xml:space="preserve">1 -1 </t>
    </r>
    <r>
      <rPr>
        <sz val="11"/>
        <rFont val="Trebuchet MS"/>
        <family val="2"/>
      </rPr>
      <t>1 1 1 1</t>
    </r>
  </si>
  <si>
    <r>
      <t xml:space="preserve">2 2 1 </t>
    </r>
    <r>
      <rPr>
        <sz val="11"/>
        <rFont val="Trebuchet MS"/>
        <family val="2"/>
      </rPr>
      <t>1 1</t>
    </r>
  </si>
  <si>
    <r>
      <t xml:space="preserve">2 2 1 </t>
    </r>
    <r>
      <rPr>
        <sz val="11"/>
        <color indexed="10"/>
        <rFont val="Trebuchet MS"/>
        <family val="2"/>
      </rPr>
      <t>1</t>
    </r>
    <r>
      <rPr>
        <sz val="11"/>
        <color indexed="58"/>
        <rFont val="Trebuchet MS"/>
        <family val="2"/>
      </rPr>
      <t xml:space="preserve"> 1</t>
    </r>
  </si>
  <si>
    <r>
      <t xml:space="preserve">2 2 </t>
    </r>
    <r>
      <rPr>
        <sz val="11"/>
        <rFont val="Trebuchet MS"/>
        <family val="2"/>
      </rPr>
      <t>2 1</t>
    </r>
    <r>
      <rPr>
        <sz val="11"/>
        <color indexed="10"/>
        <rFont val="Trebuchet MS"/>
        <family val="2"/>
      </rPr>
      <t xml:space="preserve"> </t>
    </r>
    <r>
      <rPr>
        <sz val="11"/>
        <rFont val="Trebuchet MS"/>
        <family val="2"/>
      </rPr>
      <t>1 1</t>
    </r>
  </si>
  <si>
    <r>
      <t xml:space="preserve">2 2 2 1 </t>
    </r>
    <r>
      <rPr>
        <sz val="11"/>
        <color indexed="10"/>
        <rFont val="Trebuchet MS"/>
        <family val="2"/>
      </rPr>
      <t>1</t>
    </r>
    <r>
      <rPr>
        <sz val="11"/>
        <color indexed="58"/>
        <rFont val="Trebuchet MS"/>
        <family val="2"/>
      </rPr>
      <t xml:space="preserve"> 1</t>
    </r>
  </si>
  <si>
    <r>
      <t xml:space="preserve">5 3 </t>
    </r>
    <r>
      <rPr>
        <sz val="11"/>
        <color indexed="10"/>
        <rFont val="Trebuchet MS"/>
        <family val="2"/>
      </rPr>
      <t>2</t>
    </r>
    <r>
      <rPr>
        <sz val="11"/>
        <rFont val="Trebuchet MS"/>
        <family val="2"/>
      </rPr>
      <t xml:space="preserve"> 1</t>
    </r>
    <r>
      <rPr>
        <sz val="11"/>
        <color indexed="10"/>
        <rFont val="Trebuchet MS"/>
        <family val="2"/>
      </rPr>
      <t xml:space="preserve"> </t>
    </r>
    <r>
      <rPr>
        <sz val="11"/>
        <rFont val="Trebuchet MS"/>
        <family val="2"/>
      </rPr>
      <t>1 1</t>
    </r>
  </si>
  <si>
    <r>
      <t xml:space="preserve">5 3 </t>
    </r>
    <r>
      <rPr>
        <sz val="11"/>
        <color indexed="10"/>
        <rFont val="Trebuchet MS"/>
        <family val="2"/>
      </rPr>
      <t>2</t>
    </r>
    <r>
      <rPr>
        <sz val="11"/>
        <rFont val="Trebuchet MS"/>
        <family val="2"/>
      </rPr>
      <t xml:space="preserve"> 1</t>
    </r>
    <r>
      <rPr>
        <sz val="11"/>
        <color indexed="10"/>
        <rFont val="Trebuchet MS"/>
        <family val="2"/>
      </rPr>
      <t xml:space="preserve"> </t>
    </r>
    <r>
      <rPr>
        <sz val="11"/>
        <rFont val="Trebuchet MS"/>
        <family val="2"/>
      </rPr>
      <t>1</t>
    </r>
  </si>
  <si>
    <r>
      <t xml:space="preserve">5 3 2 1 </t>
    </r>
    <r>
      <rPr>
        <sz val="11"/>
        <color indexed="10"/>
        <rFont val="Trebuchet MS"/>
        <family val="2"/>
      </rPr>
      <t>1</t>
    </r>
  </si>
  <si>
    <r>
      <t xml:space="preserve">5 3 2 1 </t>
    </r>
    <r>
      <rPr>
        <sz val="11"/>
        <color indexed="10"/>
        <rFont val="Trebuchet MS"/>
        <family val="2"/>
      </rPr>
      <t xml:space="preserve">1 </t>
    </r>
    <r>
      <rPr>
        <sz val="11"/>
        <rFont val="Trebuchet MS"/>
        <family val="2"/>
      </rPr>
      <t>1</t>
    </r>
  </si>
  <si>
    <r>
      <rPr>
        <sz val="11"/>
        <rFont val="Trebuchet MS"/>
        <family val="2"/>
      </rPr>
      <t>5 3 2 1</t>
    </r>
    <r>
      <rPr>
        <sz val="11"/>
        <color indexed="10"/>
        <rFont val="Trebuchet MS"/>
        <family val="2"/>
      </rPr>
      <t xml:space="preserve"> </t>
    </r>
    <r>
      <rPr>
        <sz val="11"/>
        <rFont val="Trebuchet MS"/>
        <family val="2"/>
      </rPr>
      <t xml:space="preserve">1 </t>
    </r>
    <r>
      <rPr>
        <sz val="11"/>
        <color indexed="10"/>
        <rFont val="Trebuchet MS"/>
        <family val="2"/>
      </rPr>
      <t>1</t>
    </r>
  </si>
  <si>
    <r>
      <t>5 2 2 1</t>
    </r>
    <r>
      <rPr>
        <sz val="11"/>
        <rFont val="Trebuchet MS"/>
        <family val="2"/>
      </rPr>
      <t xml:space="preserve"> 1</t>
    </r>
  </si>
  <si>
    <r>
      <t xml:space="preserve">5 2 2 1 </t>
    </r>
    <r>
      <rPr>
        <sz val="11"/>
        <color indexed="10"/>
        <rFont val="Trebuchet MS"/>
        <family val="2"/>
      </rPr>
      <t>1</t>
    </r>
  </si>
  <si>
    <r>
      <t xml:space="preserve">5 2 2 </t>
    </r>
    <r>
      <rPr>
        <sz val="11"/>
        <color indexed="10"/>
        <rFont val="Trebuchet MS"/>
        <family val="2"/>
      </rPr>
      <t>1 -1</t>
    </r>
  </si>
  <si>
    <r>
      <t xml:space="preserve">5 2 2 </t>
    </r>
    <r>
      <rPr>
        <sz val="11"/>
        <color indexed="10"/>
        <rFont val="Trebuchet MS"/>
        <family val="2"/>
      </rPr>
      <t xml:space="preserve">1 </t>
    </r>
    <r>
      <rPr>
        <sz val="11"/>
        <rFont val="Trebuchet MS"/>
        <family val="2"/>
      </rPr>
      <t>1 1</t>
    </r>
  </si>
  <si>
    <r>
      <t xml:space="preserve">5 2 2 </t>
    </r>
    <r>
      <rPr>
        <sz val="11"/>
        <rFont val="Trebuchet MS"/>
        <family val="2"/>
      </rPr>
      <t xml:space="preserve">1 </t>
    </r>
    <r>
      <rPr>
        <sz val="11"/>
        <color indexed="10"/>
        <rFont val="Trebuchet MS"/>
        <family val="2"/>
      </rPr>
      <t xml:space="preserve">1 </t>
    </r>
    <r>
      <rPr>
        <sz val="11"/>
        <rFont val="Trebuchet MS"/>
        <family val="2"/>
      </rPr>
      <t>1</t>
    </r>
  </si>
  <si>
    <t>2.3.4.1.9</t>
  </si>
  <si>
    <r>
      <t xml:space="preserve">5 2 2 1 </t>
    </r>
    <r>
      <rPr>
        <sz val="11"/>
        <rFont val="Trebuchet MS"/>
        <family val="2"/>
      </rPr>
      <t>1 1 1</t>
    </r>
  </si>
  <si>
    <r>
      <t xml:space="preserve">5 2 2 1 1 </t>
    </r>
    <r>
      <rPr>
        <sz val="11"/>
        <color indexed="10"/>
        <rFont val="Trebuchet MS"/>
        <family val="2"/>
      </rPr>
      <t>1</t>
    </r>
    <r>
      <rPr>
        <sz val="11"/>
        <color indexed="58"/>
        <rFont val="Trebuchet MS"/>
        <family val="2"/>
      </rPr>
      <t xml:space="preserve"> 1</t>
    </r>
  </si>
  <si>
    <r>
      <rPr>
        <sz val="11"/>
        <rFont val="Trebuchet MS"/>
        <family val="2"/>
      </rPr>
      <t xml:space="preserve">4 2 2 </t>
    </r>
    <r>
      <rPr>
        <sz val="11"/>
        <color indexed="10"/>
        <rFont val="Trebuchet MS"/>
        <family val="2"/>
      </rPr>
      <t>1 1</t>
    </r>
  </si>
  <si>
    <r>
      <t xml:space="preserve">4 2 2 </t>
    </r>
    <r>
      <rPr>
        <sz val="11"/>
        <color indexed="10"/>
        <rFont val="Trebuchet MS"/>
        <family val="2"/>
      </rPr>
      <t>1 -1</t>
    </r>
  </si>
  <si>
    <r>
      <t xml:space="preserve">5 </t>
    </r>
    <r>
      <rPr>
        <sz val="11"/>
        <rFont val="Trebuchet MS"/>
        <family val="2"/>
      </rPr>
      <t>4 3 2 1</t>
    </r>
  </si>
  <si>
    <r>
      <t xml:space="preserve">5 4 3 2 </t>
    </r>
    <r>
      <rPr>
        <sz val="11"/>
        <color indexed="10"/>
        <rFont val="Trebuchet MS"/>
        <family val="2"/>
      </rPr>
      <t>1</t>
    </r>
  </si>
  <si>
    <r>
      <rPr>
        <sz val="11"/>
        <rFont val="Trebuchet MS"/>
        <family val="2"/>
      </rPr>
      <t>5 3 2</t>
    </r>
    <r>
      <rPr>
        <sz val="11"/>
        <color indexed="10"/>
        <rFont val="Trebuchet MS"/>
        <family val="2"/>
      </rPr>
      <t xml:space="preserve"> 1 1</t>
    </r>
  </si>
  <si>
    <r>
      <t xml:space="preserve">5 3 2 </t>
    </r>
    <r>
      <rPr>
        <sz val="11"/>
        <color indexed="10"/>
        <rFont val="Trebuchet MS"/>
        <family val="2"/>
      </rPr>
      <t>1 -1</t>
    </r>
  </si>
  <si>
    <r>
      <rPr>
        <sz val="11"/>
        <rFont val="Trebuchet MS"/>
        <family val="2"/>
      </rPr>
      <t>5 3 2 1</t>
    </r>
    <r>
      <rPr>
        <sz val="11"/>
        <color indexed="10"/>
        <rFont val="Trebuchet MS"/>
        <family val="2"/>
      </rPr>
      <t xml:space="preserve"> 1 1</t>
    </r>
  </si>
  <si>
    <r>
      <t xml:space="preserve">5 3 2 1 </t>
    </r>
    <r>
      <rPr>
        <sz val="11"/>
        <color indexed="10"/>
        <rFont val="Trebuchet MS"/>
        <family val="2"/>
      </rPr>
      <t>1 -1</t>
    </r>
  </si>
  <si>
    <r>
      <t xml:space="preserve">5 5 </t>
    </r>
    <r>
      <rPr>
        <sz val="11"/>
        <rFont val="Trebuchet MS"/>
        <family val="2"/>
      </rPr>
      <t>3 2 1 1</t>
    </r>
  </si>
  <si>
    <r>
      <t xml:space="preserve">5 5 3 2 1 </t>
    </r>
    <r>
      <rPr>
        <sz val="11"/>
        <color indexed="10"/>
        <rFont val="Trebuchet MS"/>
        <family val="2"/>
      </rPr>
      <t>1</t>
    </r>
  </si>
  <si>
    <r>
      <rPr>
        <sz val="11"/>
        <rFont val="Trebuchet MS"/>
        <family val="2"/>
      </rPr>
      <t xml:space="preserve">5 2 2 </t>
    </r>
    <r>
      <rPr>
        <sz val="11"/>
        <color indexed="10"/>
        <rFont val="Trebuchet MS"/>
        <family val="2"/>
      </rPr>
      <t>1 1</t>
    </r>
  </si>
  <si>
    <r>
      <rPr>
        <sz val="11"/>
        <rFont val="Trebuchet MS"/>
        <family val="2"/>
      </rPr>
      <t xml:space="preserve">5 2 2 1 </t>
    </r>
    <r>
      <rPr>
        <sz val="11"/>
        <color indexed="10"/>
        <rFont val="Trebuchet MS"/>
        <family val="2"/>
      </rPr>
      <t>1 1</t>
    </r>
  </si>
  <si>
    <r>
      <t xml:space="preserve">5 2 2 1 </t>
    </r>
    <r>
      <rPr>
        <sz val="11"/>
        <color indexed="10"/>
        <rFont val="Trebuchet MS"/>
        <family val="2"/>
      </rPr>
      <t>1 -1</t>
    </r>
  </si>
  <si>
    <r>
      <t xml:space="preserve">3 2 </t>
    </r>
    <r>
      <rPr>
        <sz val="11"/>
        <rFont val="Trebuchet MS"/>
        <family val="2"/>
      </rPr>
      <t>1 1 1</t>
    </r>
  </si>
  <si>
    <r>
      <t xml:space="preserve">3 2 1 </t>
    </r>
    <r>
      <rPr>
        <sz val="11"/>
        <color indexed="10"/>
        <rFont val="Trebuchet MS"/>
        <family val="2"/>
      </rPr>
      <t>1</t>
    </r>
    <r>
      <rPr>
        <sz val="11"/>
        <color indexed="58"/>
        <rFont val="Trebuchet MS"/>
        <family val="2"/>
      </rPr>
      <t xml:space="preserve"> 1</t>
    </r>
  </si>
  <si>
    <t>U (k=2)</t>
  </si>
  <si>
    <t>Design.Table</t>
  </si>
  <si>
    <t>PooledSwTable</t>
  </si>
  <si>
    <t>='LAP Data Entry'!$U:$V</t>
  </si>
  <si>
    <t>Enter requested information in the light yellow cells rows 1 through 10 on the Data Entry worksheet.</t>
  </si>
  <si>
    <t>Name files as follows; Balance (ID), Load (ID), SOP, e.g., CC30002 (S5), 10 kg (C55), SOP 28.</t>
  </si>
  <si>
    <t>Data entry cells are blank on the template</t>
  </si>
  <si>
    <t>Do Not Delete, Used for Chart Titles and Legends</t>
  </si>
  <si>
    <t>Check Mean Value</t>
  </si>
  <si>
    <t>Control Limits (Chk Mean ± 3 s)</t>
  </si>
  <si>
    <t>Warning Limits (Chk Mean ± 2 s)</t>
  </si>
  <si>
    <t>Enter data from your measurements in the light yellow cells in rows 2 down column A through P on the LAP Data Entry worksheet. After entering data highlight columns Q through AD on the row above the one your entering data and copy down.</t>
  </si>
  <si>
    <r>
      <t xml:space="preserve">On the LAP Data Entry worksheet place the cursor in column A where it states </t>
    </r>
    <r>
      <rPr>
        <sz val="12"/>
        <color indexed="10"/>
        <rFont val="Trebuchet MS"/>
        <family val="2"/>
      </rPr>
      <t xml:space="preserve">Insert Row Here </t>
    </r>
    <r>
      <rPr>
        <sz val="12"/>
        <rFont val="Trebuchet MS"/>
        <family val="2"/>
      </rPr>
      <t>and insert a row. This will be the next row you will enter new data.</t>
    </r>
  </si>
  <si>
    <t>Do not change the formulas in L1 through L10 on the Data Entry spreadsheet, these are used for the control chart titles.</t>
  </si>
  <si>
    <t>Developed by Dan Wright, State Metrologist, Washington Metrology Laboratory</t>
  </si>
  <si>
    <t>Hand calculation did not reveal any significant differences</t>
  </si>
  <si>
    <r>
      <t xml:space="preserve">5 2 2 </t>
    </r>
    <r>
      <rPr>
        <sz val="11"/>
        <color indexed="10"/>
        <rFont val="Trebuchet MS"/>
        <family val="2"/>
      </rPr>
      <t>1</t>
    </r>
    <r>
      <rPr>
        <sz val="11"/>
        <rFont val="Trebuchet MS"/>
        <family val="2"/>
      </rPr>
      <t xml:space="preserve"> 1 1</t>
    </r>
  </si>
  <si>
    <t>WA.C.10</t>
  </si>
  <si>
    <r>
      <rPr>
        <sz val="11"/>
        <color indexed="10"/>
        <rFont val="Trebuchet MS"/>
        <family val="2"/>
      </rPr>
      <t>5 2 2 1</t>
    </r>
    <r>
      <rPr>
        <sz val="11"/>
        <rFont val="Trebuchet MS"/>
        <family val="2"/>
      </rPr>
      <t xml:space="preserve"> 1 1</t>
    </r>
  </si>
  <si>
    <r>
      <t xml:space="preserve">5 2 2 </t>
    </r>
    <r>
      <rPr>
        <sz val="11"/>
        <rFont val="Trebuchet MS"/>
        <family val="2"/>
      </rPr>
      <t xml:space="preserve">1 </t>
    </r>
    <r>
      <rPr>
        <sz val="11"/>
        <color indexed="10"/>
        <rFont val="Trebuchet MS"/>
        <family val="2"/>
      </rPr>
      <t>1</t>
    </r>
    <r>
      <rPr>
        <sz val="11"/>
        <rFont val="Trebuchet MS"/>
        <family val="2"/>
      </rPr>
      <t xml:space="preserve"> 1</t>
    </r>
  </si>
  <si>
    <t>C.1a</t>
  </si>
  <si>
    <r>
      <rPr>
        <sz val="11"/>
        <rFont val="Trebuchet MS"/>
        <family val="2"/>
      </rPr>
      <t xml:space="preserve">5 3 2 </t>
    </r>
    <r>
      <rPr>
        <sz val="11"/>
        <color indexed="10"/>
        <rFont val="Trebuchet MS"/>
        <family val="2"/>
      </rPr>
      <t>1 1</t>
    </r>
  </si>
  <si>
    <r>
      <rPr>
        <sz val="11"/>
        <rFont val="Trebuchet MS"/>
        <family val="2"/>
      </rPr>
      <t xml:space="preserve">5 3 2 </t>
    </r>
    <r>
      <rPr>
        <sz val="11"/>
        <color indexed="10"/>
        <rFont val="Trebuchet MS"/>
        <family val="2"/>
      </rPr>
      <t>1 -1</t>
    </r>
  </si>
  <si>
    <r>
      <rPr>
        <sz val="11"/>
        <rFont val="Trebuchet MS"/>
        <family val="2"/>
      </rPr>
      <t>4 2 2 1</t>
    </r>
    <r>
      <rPr>
        <sz val="11"/>
        <color indexed="10"/>
        <rFont val="Trebuchet MS"/>
        <family val="2"/>
      </rPr>
      <t xml:space="preserve"> 1</t>
    </r>
  </si>
  <si>
    <r>
      <t xml:space="preserve">4 2 2 </t>
    </r>
    <r>
      <rPr>
        <sz val="11"/>
        <color indexed="10"/>
        <rFont val="Trebuchet MS"/>
        <family val="2"/>
      </rPr>
      <t xml:space="preserve">1 </t>
    </r>
    <r>
      <rPr>
        <sz val="11"/>
        <rFont val="Trebuchet MS"/>
        <family val="2"/>
      </rPr>
      <t>1</t>
    </r>
  </si>
  <si>
    <t>C.10a</t>
  </si>
  <si>
    <r>
      <rPr>
        <sz val="11"/>
        <rFont val="Trebuchet MS"/>
        <family val="2"/>
      </rPr>
      <t xml:space="preserve">5 2 2 1 </t>
    </r>
    <r>
      <rPr>
        <sz val="11"/>
        <color indexed="10"/>
        <rFont val="Trebuchet MS"/>
        <family val="2"/>
      </rPr>
      <t>1 1</t>
    </r>
  </si>
  <si>
    <r>
      <t xml:space="preserve">5 2 2 </t>
    </r>
    <r>
      <rPr>
        <sz val="11"/>
        <rFont val="Trebuchet MS"/>
        <family val="2"/>
      </rPr>
      <t xml:space="preserve">1 </t>
    </r>
    <r>
      <rPr>
        <sz val="11"/>
        <color indexed="10"/>
        <rFont val="Trebuchet MS"/>
        <family val="2"/>
      </rPr>
      <t>1 -</t>
    </r>
    <r>
      <rPr>
        <sz val="11"/>
        <color indexed="10"/>
        <rFont val="Trebuchet MS"/>
        <family val="2"/>
      </rPr>
      <t>1</t>
    </r>
  </si>
  <si>
    <r>
      <rPr>
        <sz val="11"/>
        <rFont val="Trebuchet MS"/>
        <family val="2"/>
      </rPr>
      <t xml:space="preserve">5 3 2 </t>
    </r>
    <r>
      <rPr>
        <sz val="11"/>
        <color indexed="10"/>
        <rFont val="Trebuchet MS"/>
        <family val="2"/>
      </rPr>
      <t>1</t>
    </r>
    <r>
      <rPr>
        <sz val="11"/>
        <rFont val="Trebuchet MS"/>
        <family val="2"/>
      </rPr>
      <t xml:space="preserve"> 1 1</t>
    </r>
  </si>
  <si>
    <r>
      <rPr>
        <sz val="11"/>
        <rFont val="Trebuchet MS"/>
        <family val="2"/>
      </rPr>
      <t xml:space="preserve">5 3 2 1 </t>
    </r>
    <r>
      <rPr>
        <sz val="11"/>
        <color indexed="10"/>
        <rFont val="Trebuchet MS"/>
        <family val="2"/>
      </rPr>
      <t>1 1</t>
    </r>
  </si>
  <si>
    <t>Validated workbook, file name 'WA2010-08-31 WAQCF-021 (Rev. 00), Advanced Mass Control Chart Workbook V&amp;V'.pdf on Laboratory Computer C:\ drive and Agency Server H:\ drive and a paper copy in laboratory files.</t>
  </si>
  <si>
    <r>
      <rPr>
        <sz val="11"/>
        <rFont val="Trebuchet MS"/>
        <family val="2"/>
      </rPr>
      <t>3 2 1 1</t>
    </r>
    <r>
      <rPr>
        <sz val="11"/>
        <color indexed="10"/>
        <rFont val="Trebuchet MS"/>
        <family val="2"/>
      </rPr>
      <t xml:space="preserve"> 1</t>
    </r>
  </si>
  <si>
    <r>
      <t xml:space="preserve">3 2 1 </t>
    </r>
    <r>
      <rPr>
        <sz val="11"/>
        <color indexed="10"/>
        <rFont val="Trebuchet MS"/>
        <family val="2"/>
      </rPr>
      <t xml:space="preserve">1 </t>
    </r>
    <r>
      <rPr>
        <sz val="11"/>
        <rFont val="Trebuchet MS"/>
        <family val="2"/>
      </rPr>
      <t>1</t>
    </r>
  </si>
  <si>
    <t>Specification:</t>
  </si>
  <si>
    <t>Class:</t>
  </si>
  <si>
    <r>
      <t>Precision Test (P</t>
    </r>
    <r>
      <rPr>
        <vertAlign val="subscript"/>
        <sz val="11"/>
        <rFont val="Trebuchet MS"/>
        <family val="2"/>
      </rPr>
      <t>n</t>
    </r>
    <r>
      <rPr>
        <sz val="11"/>
        <rFont val="Trebuchet MS"/>
        <family val="2"/>
      </rPr>
      <t>)</t>
    </r>
  </si>
  <si>
    <t>Best Uncertainty</t>
  </si>
  <si>
    <t>Nominal Value:</t>
  </si>
  <si>
    <t>Maximum Permissible Error (MPE) Finder</t>
  </si>
  <si>
    <t>Do Not Delete</t>
  </si>
  <si>
    <t>Standard Specification:</t>
  </si>
  <si>
    <t>MPE Lookup Table</t>
  </si>
  <si>
    <t>Class Table Column Lookup</t>
  </si>
  <si>
    <t>ASTM E 617 Specification Class:</t>
  </si>
  <si>
    <t>Unit</t>
  </si>
  <si>
    <t>gram</t>
  </si>
  <si>
    <t>ASTM E 617</t>
  </si>
  <si>
    <t>OIML R 111</t>
  </si>
  <si>
    <t>NIST HB 105-1</t>
  </si>
  <si>
    <t>NIST HB 105-1 F</t>
  </si>
  <si>
    <t>NIST HB 105-8</t>
  </si>
  <si>
    <t>Class</t>
  </si>
  <si>
    <t>ASTM g</t>
  </si>
  <si>
    <t>ASTM lb</t>
  </si>
  <si>
    <t>ASTM oz</t>
  </si>
  <si>
    <t>ASTM oz t</t>
  </si>
  <si>
    <t>ASTM dwt</t>
  </si>
  <si>
    <t>ASTM gr</t>
  </si>
  <si>
    <t>ASTM carat</t>
  </si>
  <si>
    <t>ASTM ap</t>
  </si>
  <si>
    <t>105-1 g</t>
  </si>
  <si>
    <t>105-1 lb</t>
  </si>
  <si>
    <t>105-1 oz</t>
  </si>
  <si>
    <t>105-1 ap</t>
  </si>
  <si>
    <t>105-1 gr</t>
  </si>
  <si>
    <t>NIST HB 105-1 (draft) &amp; OIML R 111 Spec. Class:</t>
  </si>
  <si>
    <t>kg</t>
  </si>
  <si>
    <t>---</t>
  </si>
  <si>
    <t>000</t>
  </si>
  <si>
    <t>E1</t>
  </si>
  <si>
    <t>Mass Nominal Value:</t>
  </si>
  <si>
    <t>g</t>
  </si>
  <si>
    <t>00</t>
  </si>
  <si>
    <t>E2</t>
  </si>
  <si>
    <t>Nominal Value Unit:</t>
  </si>
  <si>
    <t>F1</t>
  </si>
  <si>
    <t>MPE (± mg) =</t>
  </si>
  <si>
    <t>lb</t>
  </si>
  <si>
    <t>F2</t>
  </si>
  <si>
    <t>oz</t>
  </si>
  <si>
    <t>M1</t>
  </si>
  <si>
    <t>Interpolation of Intermediate Values</t>
  </si>
  <si>
    <t>oz t</t>
  </si>
  <si>
    <t>M1-2</t>
  </si>
  <si>
    <t>For ASTM E 617 and NIST HB 105-1 (draft) Only</t>
  </si>
  <si>
    <t>dwt</t>
  </si>
  <si>
    <t>M2</t>
  </si>
  <si>
    <t>nominal value to be interpolated (x) g:</t>
  </si>
  <si>
    <t>gr</t>
  </si>
  <si>
    <t>M2-3</t>
  </si>
  <si>
    <t>carat</t>
  </si>
  <si>
    <t>M3</t>
  </si>
  <si>
    <t>lower nominal value from table (x1) g:</t>
  </si>
  <si>
    <t>oz ap</t>
  </si>
  <si>
    <t>dr ap</t>
  </si>
  <si>
    <t>upper nominal value from table (x2) g:</t>
  </si>
  <si>
    <t>s ap</t>
  </si>
  <si>
    <t>lower table value cooresponding with x1 (y1) mg:</t>
  </si>
  <si>
    <t>Class F formated to two significant digits</t>
  </si>
  <si>
    <t>upper table value cooresponding with x2 (y2) mg:</t>
  </si>
  <si>
    <t>interpolated table value (y) mg:</t>
  </si>
  <si>
    <t>Interpolation of Intermediate Values Lower Value Lookup</t>
  </si>
  <si>
    <t>Interpolation of Intermediate Values Upper Value Lookup</t>
  </si>
  <si>
    <t>Formula</t>
  </si>
  <si>
    <t>CC MPE %:</t>
  </si>
  <si>
    <t>MPE (mg) =</t>
  </si>
  <si>
    <t>Nominal Value Unit</t>
  </si>
  <si>
    <t>Added MPE Finder worksheet.</t>
  </si>
  <si>
    <t>Added precision test to data entry sheet,</t>
  </si>
  <si>
    <t>Validated links and range names.</t>
  </si>
  <si>
    <t>Validated workbook, file name 'WA2015-10-09 WAQCF-021 (Rev. 01), Advanced Mass Control Chart Workbook V&amp;V'.pdf on Laboratory Computer C:\ drive and Agency Server H:\ drive and a paper copy in laboratory files.</t>
  </si>
  <si>
    <t>WAQCF-021 (Rev. 01), Advanced Mass Control Chart.xlt</t>
  </si>
  <si>
    <t>Chart Procedure (SOP 9) and Measurement Procedure (SOP 28) are both specified</t>
  </si>
  <si>
    <r>
      <t xml:space="preserve">On the Data Entry spreadsheet enter the best uncertainty from youe CMC tables in rows 12 down, column B. These uncertainties are used for the error bars on the s(t) Chart. To add an additional weighing design, unprotect sheet and place cursor in column A where it states </t>
    </r>
    <r>
      <rPr>
        <sz val="12"/>
        <color indexed="10"/>
        <rFont val="Trebuchet MS"/>
        <family val="2"/>
      </rPr>
      <t>Insert Row Here</t>
    </r>
    <r>
      <rPr>
        <sz val="12"/>
        <rFont val="Trebuchet MS"/>
        <family val="2"/>
      </rPr>
      <t xml:space="preserve"> and insert row.  This will be the next row you will enter new data.</t>
    </r>
  </si>
  <si>
    <t>Modify the 'CC MPE %' on the Data Entry worksheet to adjust the limits just outside the UCL and LCL on the s(t) Chart. This gives a better visual of your data points.</t>
  </si>
  <si>
    <t>The MPE Finder worksheet is linked to the Mass MPE workbook.</t>
  </si>
  <si>
    <t>ASTM_ap</t>
  </si>
  <si>
    <t>='C:\LINKED\TOL\[Mass MPE.xls]ASTM E 617 ap'!$B$3:$F$18</t>
  </si>
  <si>
    <t>ASTM_dwt</t>
  </si>
  <si>
    <t>='C:\LINKED\TOL\[Mass MPE.xls]ASTM E 617 dwt'!$B$3:$E$19</t>
  </si>
  <si>
    <t>ASTM_g</t>
  </si>
  <si>
    <t>='C:\LINKED\TOL\[Mass MPE.xls]ASTM E 617 g'!$B$3:$L$48</t>
  </si>
  <si>
    <t>ASTM_gr</t>
  </si>
  <si>
    <t>='C:\LINKED\TOL\[Mass MPE.xls]ASTM E 617 gr'!$B$3:$E$27</t>
  </si>
  <si>
    <t>ASTM_lb</t>
  </si>
  <si>
    <t>='C:\LINKED\TOL\[Mass MPE.xls]ASTM E 617 lb'!$B$3:$J$39</t>
  </si>
  <si>
    <t>ASTM_oz</t>
  </si>
  <si>
    <t>='C:\LINKED\TOL\[Mass MPE.xls]ASTM E 617 oz'!$B$3:$J$31</t>
  </si>
  <si>
    <t>ASTM_ozt</t>
  </si>
  <si>
    <t>='C:\LINKED\TOL\[Mass MPE.xls]ASTM E 617 oz t'!$B$3:$G$31</t>
  </si>
  <si>
    <t>='Data Entry'!$A$13:$G$43</t>
  </si>
  <si>
    <t>NIST_ap</t>
  </si>
  <si>
    <t>='C:\LINKED\TOL\[Mass MPE.xls]NIST HB 105-1 ap'!$B$3:$I$21</t>
  </si>
  <si>
    <t>NIST_g</t>
  </si>
  <si>
    <t>='C:\LINKED\TOL\[Mass MPE.xls]NIST HB 105-1 g'!$B$3:$K$43</t>
  </si>
  <si>
    <t>NIST_gr</t>
  </si>
  <si>
    <t>='C:\LINKED\TOL\[Mass MPE.xls]NIST HB 105-1 gr'!$B$3:$I$27</t>
  </si>
  <si>
    <t>NIST_lb</t>
  </si>
  <si>
    <t>='C:\LINKED\TOL\[Mass MPE.xls]NIST HB 105-1 lb'!$B$3:$K$31</t>
  </si>
  <si>
    <t>NIST_oz</t>
  </si>
  <si>
    <t>='C:\LINKED\TOL\[Mass MPE.xls]NIST HB 105-1 oz'!$B$3:$I$31</t>
  </si>
  <si>
    <t>OIML</t>
  </si>
  <si>
    <t>='C:\LINKED\TOL\[Mass MPE.xls]OIML R 111'!$B$3:$K$32</t>
  </si>
  <si>
    <t>Spec</t>
  </si>
  <si>
    <t>='Data Entry'!$G$9</t>
  </si>
  <si>
    <t>='MPE Finder'!$G$4:$G$15</t>
  </si>
  <si>
    <t>Weightcart</t>
  </si>
  <si>
    <t>='C:\LINKED\TOL\[Mass MPE.xls]NIST HB 105-8'!$B$3:$C$11</t>
  </si>
  <si>
    <r>
      <t xml:space="preserve">Password protected. Hint: </t>
    </r>
    <r>
      <rPr>
        <sz val="12"/>
        <color indexed="10"/>
        <rFont val="Trebuchet MS"/>
        <family val="2"/>
      </rPr>
      <t>password</t>
    </r>
  </si>
  <si>
    <t>You must link this workbook to the Mass MPE workbook for the lookups on the MPE Finder worksheet to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</si>
</sst>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164" formatCode="0.00000"/>
    <numFmt numFmtId="165" formatCode="0.0"/>
    <numFmt numFmtId="166" formatCode="General_)"/>
    <numFmt numFmtId="167" formatCode="[$-409]mmmm\ d\,\ yyyy;@"/>
    <numFmt numFmtId="168" formatCode="@*-"/>
  </numFmts>
  <fonts count="36" x14ac:knownFonts="1">
    <font>
      <sz val="10"/>
      <name val="Arial"/>
    </font>
    <font>
      <sz val="10"/>
      <name val="Arial"/>
      <family val="2"/>
    </font>
    <font>
      <sz val="10"/>
      <name val="Arial"/>
      <family val="2"/>
    </font>
    <font>
      <sz val="12"/>
      <color indexed="10"/>
      <name val="Trebuchet MS"/>
      <family val="2"/>
    </font>
    <font>
      <sz val="11"/>
      <name val="Trebuchet MS"/>
      <family val="2"/>
    </font>
    <font>
      <sz val="10"/>
      <name val="Trebuchet MS"/>
      <family val="2"/>
    </font>
    <font>
      <vertAlign val="subscript"/>
      <sz val="11"/>
      <name val="Trebuchet MS"/>
      <family val="2"/>
    </font>
    <font>
      <i/>
      <sz val="11"/>
      <name val="Trebuchet MS"/>
      <family val="2"/>
    </font>
    <font>
      <sz val="12"/>
      <name val="Trebuchet MS"/>
      <family val="2"/>
    </font>
    <font>
      <sz val="12"/>
      <name val="Helv"/>
    </font>
    <font>
      <b/>
      <sz val="12"/>
      <name val="Trebuchet MS"/>
      <family val="2"/>
    </font>
    <font>
      <sz val="11"/>
      <color indexed="58"/>
      <name val="Trebuchet MS"/>
      <family val="2"/>
    </font>
    <font>
      <sz val="11"/>
      <color indexed="10"/>
      <name val="Trebuchet MS"/>
      <family val="2"/>
    </font>
    <font>
      <i/>
      <sz val="11"/>
      <color indexed="10"/>
      <name val="Tahoma"/>
      <family val="2"/>
    </font>
    <font>
      <sz val="14"/>
      <name val="Trebuchet MS"/>
      <family val="2"/>
    </font>
    <font>
      <sz val="16"/>
      <name val="Trebuchet MS"/>
      <family val="2"/>
    </font>
    <font>
      <b/>
      <sz val="11"/>
      <color indexed="10"/>
      <name val="Trebuchet MS"/>
      <family val="2"/>
    </font>
    <font>
      <sz val="8"/>
      <name val="Trebuchet MS"/>
      <family val="2"/>
    </font>
    <font>
      <i/>
      <sz val="11"/>
      <color indexed="10"/>
      <name val="Trebuchet MS"/>
      <family val="2"/>
    </font>
    <font>
      <vertAlign val="superscript"/>
      <sz val="11"/>
      <name val="Trebuchet MS"/>
      <family val="2"/>
    </font>
    <font>
      <sz val="9"/>
      <color indexed="10"/>
      <name val="Fixedsys"/>
      <family val="3"/>
    </font>
    <font>
      <sz val="9"/>
      <color indexed="81"/>
      <name val="Fixedsys"/>
      <family val="3"/>
    </font>
    <font>
      <sz val="12"/>
      <name val="Trebuchet MS"/>
      <family val="2"/>
    </font>
    <font>
      <sz val="8"/>
      <color indexed="81"/>
      <name val="Tahoma"/>
      <family val="2"/>
    </font>
    <font>
      <u/>
      <sz val="10"/>
      <color indexed="12"/>
      <name val="Arial"/>
      <family val="2"/>
    </font>
    <font>
      <sz val="12"/>
      <name val="Times New Roman"/>
      <family val="1"/>
    </font>
    <font>
      <sz val="12"/>
      <name val="Trebuchet MS"/>
      <family val="2"/>
    </font>
    <font>
      <sz val="12"/>
      <color theme="1"/>
      <name val="Trebuchet MS"/>
      <family val="2"/>
    </font>
    <font>
      <sz val="12"/>
      <color theme="0"/>
      <name val="Trebuchet MS"/>
      <family val="2"/>
    </font>
    <font>
      <b/>
      <sz val="12"/>
      <color rgb="FF3F3F3F"/>
      <name val="Trebuchet MS"/>
      <family val="2"/>
    </font>
    <font>
      <sz val="12"/>
      <color rgb="FFFF0000"/>
      <name val="Trebuchet MS"/>
      <family val="2"/>
    </font>
    <font>
      <sz val="12"/>
      <color theme="2" tint="-0.499984740745262"/>
      <name val="Trebuchet MS"/>
      <family val="2"/>
    </font>
    <font>
      <sz val="14"/>
      <color theme="1"/>
      <name val="Trebuchet MS"/>
      <family val="2"/>
    </font>
    <font>
      <sz val="11"/>
      <color rgb="FFFF0000"/>
      <name val="Trebuchet MS"/>
      <family val="2"/>
    </font>
    <font>
      <b/>
      <sz val="11"/>
      <color rgb="FFFF0000"/>
      <name val="Trebuchet MS"/>
      <family val="2"/>
    </font>
    <font>
      <sz val="12"/>
      <color rgb="FF000000"/>
      <name val="Trebuchet MS"/>
      <family val="2"/>
    </font>
  </fonts>
  <fills count="44">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lightGray">
        <fgColor rgb="FFFF0000"/>
        <bgColor theme="0" tint="-0.14993743705557422"/>
      </patternFill>
    </fill>
    <fill>
      <patternFill patternType="lightGray">
        <fgColor rgb="FFFF0000"/>
        <bgColor theme="0" tint="-0.14996795556505021"/>
      </patternFill>
    </fill>
    <fill>
      <patternFill patternType="lightGray">
        <fgColor rgb="FFFF0000"/>
        <bgColor theme="0" tint="-0.14999847407452621"/>
      </patternFill>
    </fill>
    <fill>
      <patternFill patternType="solid">
        <fgColor theme="0" tint="-0.34998626667073579"/>
        <bgColor indexed="64"/>
      </patternFill>
    </fill>
    <fill>
      <patternFill patternType="solid">
        <fgColor theme="5" tint="-0.249977111117893"/>
        <bgColor indexed="64"/>
      </patternFill>
    </fill>
  </fills>
  <borders count="48">
    <border>
      <left/>
      <right/>
      <top/>
      <bottom/>
      <diagonal/>
    </border>
    <border>
      <left/>
      <right/>
      <top style="double">
        <color indexed="2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10"/>
      </left>
      <right/>
      <top style="double">
        <color indexed="10"/>
      </top>
      <bottom/>
      <diagonal/>
    </border>
    <border>
      <left style="double">
        <color indexed="10"/>
      </left>
      <right/>
      <top/>
      <bottom/>
      <diagonal/>
    </border>
    <border>
      <left/>
      <right/>
      <top style="double">
        <color indexed="10"/>
      </top>
      <bottom/>
      <diagonal/>
    </border>
    <border>
      <left/>
      <right style="double">
        <color indexed="10"/>
      </right>
      <top style="double">
        <color indexed="10"/>
      </top>
      <bottom/>
      <diagonal/>
    </border>
    <border>
      <left/>
      <right style="double">
        <color indexed="10"/>
      </right>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style="double">
        <color rgb="FFFF0000"/>
      </bottom>
      <diagonal/>
    </border>
    <border>
      <left/>
      <right/>
      <top style="double">
        <color rgb="FFFF0000"/>
      </top>
      <bottom/>
      <diagonal/>
    </border>
    <border>
      <left/>
      <right style="thin">
        <color rgb="FF93CDDD"/>
      </right>
      <top style="thin">
        <color rgb="FF93CDDD"/>
      </top>
      <bottom style="thin">
        <color rgb="FF93CDDD"/>
      </bottom>
      <diagonal/>
    </border>
  </borders>
  <cellStyleXfs count="83">
    <xf numFmtId="0" fontId="0" fillId="0" borderId="0"/>
    <xf numFmtId="0" fontId="27" fillId="15" borderId="0" applyNumberFormat="0" applyBorder="0" applyAlignment="0" applyProtection="0"/>
    <xf numFmtId="0" fontId="27" fillId="2" borderId="0" applyNumberFormat="0" applyBorder="0" applyAlignment="0" applyProtection="0"/>
    <xf numFmtId="0" fontId="27" fillId="16" borderId="0" applyNumberFormat="0" applyBorder="0" applyAlignment="0" applyProtection="0"/>
    <xf numFmtId="0" fontId="27" fillId="4" borderId="0" applyNumberFormat="0" applyBorder="0" applyAlignment="0" applyProtection="0"/>
    <xf numFmtId="0" fontId="27" fillId="17" borderId="0" applyNumberFormat="0" applyBorder="0" applyAlignment="0" applyProtection="0"/>
    <xf numFmtId="0" fontId="27" fillId="5"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5" borderId="0" applyNumberFormat="0" applyBorder="0" applyAlignment="0" applyProtection="0"/>
    <xf numFmtId="0" fontId="27" fillId="21" borderId="0" applyNumberFormat="0" applyBorder="0" applyAlignment="0" applyProtection="0"/>
    <xf numFmtId="0" fontId="27" fillId="7"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8" borderId="0" applyNumberFormat="0" applyBorder="0" applyAlignment="0" applyProtection="0"/>
    <xf numFmtId="0" fontId="27" fillId="24" borderId="0" applyNumberFormat="0" applyBorder="0" applyAlignment="0" applyProtection="0"/>
    <xf numFmtId="0" fontId="27" fillId="3" borderId="0" applyNumberFormat="0" applyBorder="0" applyAlignment="0" applyProtection="0"/>
    <xf numFmtId="0" fontId="27" fillId="25" borderId="0" applyNumberFormat="0" applyBorder="0" applyAlignment="0" applyProtection="0"/>
    <xf numFmtId="0" fontId="27" fillId="7" borderId="0" applyNumberFormat="0" applyBorder="0" applyAlignment="0" applyProtection="0"/>
    <xf numFmtId="0" fontId="27" fillId="26" borderId="0" applyNumberFormat="0" applyBorder="0" applyAlignment="0" applyProtection="0"/>
    <xf numFmtId="0" fontId="27" fillId="5" borderId="0" applyNumberFormat="0" applyBorder="0" applyAlignment="0" applyProtection="0"/>
    <xf numFmtId="0" fontId="28" fillId="27" borderId="0" applyNumberFormat="0" applyBorder="0" applyAlignment="0" applyProtection="0"/>
    <xf numFmtId="0" fontId="28" fillId="10" borderId="0" applyNumberFormat="0" applyBorder="0" applyAlignment="0" applyProtection="0"/>
    <xf numFmtId="0" fontId="28" fillId="28" borderId="0" applyNumberFormat="0" applyBorder="0" applyAlignment="0" applyProtection="0"/>
    <xf numFmtId="0" fontId="28" fillId="12" borderId="0" applyNumberFormat="0" applyBorder="0" applyAlignment="0" applyProtection="0"/>
    <xf numFmtId="0" fontId="28" fillId="29" borderId="0" applyNumberFormat="0" applyBorder="0" applyAlignment="0" applyProtection="0"/>
    <xf numFmtId="0" fontId="28" fillId="9" borderId="0" applyNumberFormat="0" applyBorder="0" applyAlignment="0" applyProtection="0"/>
    <xf numFmtId="0" fontId="28" fillId="30"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11" borderId="0" applyNumberFormat="0" applyBorder="0" applyAlignment="0" applyProtection="0"/>
    <xf numFmtId="3" fontId="1" fillId="0" borderId="0" applyFont="0" applyFill="0" applyBorder="0" applyAlignment="0" applyProtection="0">
      <alignment vertical="top"/>
    </xf>
    <xf numFmtId="3" fontId="1" fillId="0" borderId="0" applyFont="0" applyFill="0" applyBorder="0" applyAlignment="0" applyProtection="0">
      <alignment vertical="top"/>
    </xf>
    <xf numFmtId="3" fontId="1" fillId="0" borderId="0" applyFont="0" applyFill="0" applyBorder="0" applyAlignment="0" applyProtection="0">
      <alignment vertical="top"/>
    </xf>
    <xf numFmtId="3" fontId="1" fillId="0" borderId="0" applyFont="0" applyFill="0" applyBorder="0" applyAlignment="0" applyProtection="0">
      <alignment vertical="top"/>
    </xf>
    <xf numFmtId="3" fontId="1" fillId="0" borderId="0" applyFont="0" applyFill="0" applyBorder="0" applyAlignment="0" applyProtection="0">
      <alignment vertical="top"/>
    </xf>
    <xf numFmtId="5" fontId="1" fillId="0" borderId="0" applyFont="0" applyFill="0" applyBorder="0" applyAlignment="0" applyProtection="0">
      <alignment vertical="top"/>
    </xf>
    <xf numFmtId="5" fontId="1" fillId="0" borderId="0" applyFont="0" applyFill="0" applyBorder="0" applyAlignment="0" applyProtection="0">
      <alignment vertical="top"/>
    </xf>
    <xf numFmtId="5" fontId="1" fillId="0" borderId="0" applyFont="0" applyFill="0" applyBorder="0" applyAlignment="0" applyProtection="0">
      <alignment vertical="top"/>
    </xf>
    <xf numFmtId="5" fontId="1" fillId="0" borderId="0" applyFont="0" applyFill="0" applyBorder="0" applyAlignment="0" applyProtection="0">
      <alignment vertical="top"/>
    </xf>
    <xf numFmtId="5" fontId="1" fillId="0" borderId="0" applyFont="0" applyFill="0" applyBorder="0" applyAlignment="0" applyProtection="0">
      <alignment vertical="top"/>
    </xf>
    <xf numFmtId="0" fontId="1" fillId="0" borderId="0" applyFont="0" applyFill="0" applyBorder="0" applyAlignment="0" applyProtection="0">
      <alignment vertical="top"/>
    </xf>
    <xf numFmtId="0" fontId="1" fillId="0" borderId="0" applyFont="0" applyFill="0" applyBorder="0" applyAlignment="0" applyProtection="0">
      <alignment vertical="top"/>
    </xf>
    <xf numFmtId="0" fontId="1" fillId="0" borderId="0" applyFont="0" applyFill="0" applyBorder="0" applyAlignment="0" applyProtection="0">
      <alignment vertical="top"/>
    </xf>
    <xf numFmtId="0" fontId="1" fillId="0" borderId="0" applyFont="0" applyFill="0" applyBorder="0" applyAlignment="0" applyProtection="0">
      <alignment vertical="top"/>
    </xf>
    <xf numFmtId="0" fontId="1" fillId="0" borderId="0" applyFont="0" applyFill="0" applyBorder="0" applyAlignment="0" applyProtection="0">
      <alignment vertical="top"/>
    </xf>
    <xf numFmtId="2" fontId="1" fillId="0" borderId="0" applyFont="0" applyFill="0" applyBorder="0" applyAlignment="0" applyProtection="0">
      <alignment vertical="top"/>
    </xf>
    <xf numFmtId="2" fontId="1" fillId="0" borderId="0" applyFont="0" applyFill="0" applyBorder="0" applyAlignment="0" applyProtection="0">
      <alignment vertical="top"/>
    </xf>
    <xf numFmtId="2" fontId="1" fillId="0" borderId="0" applyFont="0" applyFill="0" applyBorder="0" applyAlignment="0" applyProtection="0">
      <alignment vertical="top"/>
    </xf>
    <xf numFmtId="2" fontId="1" fillId="0" borderId="0" applyFont="0" applyFill="0" applyBorder="0" applyAlignment="0" applyProtection="0">
      <alignment vertical="top"/>
    </xf>
    <xf numFmtId="2" fontId="1" fillId="0" borderId="0" applyFont="0" applyFill="0" applyBorder="0" applyAlignment="0" applyProtection="0">
      <alignment vertical="top"/>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27" fillId="0" borderId="0"/>
    <xf numFmtId="0" fontId="1" fillId="0" borderId="0"/>
    <xf numFmtId="0" fontId="27" fillId="0" borderId="0"/>
    <xf numFmtId="0" fontId="1" fillId="0" borderId="0"/>
    <xf numFmtId="0" fontId="25" fillId="0" borderId="0"/>
    <xf numFmtId="0" fontId="25" fillId="0" borderId="0"/>
    <xf numFmtId="0" fontId="1" fillId="0" borderId="0"/>
    <xf numFmtId="0" fontId="8" fillId="0" borderId="0"/>
    <xf numFmtId="0" fontId="25" fillId="0" borderId="0"/>
    <xf numFmtId="0" fontId="25" fillId="0" borderId="0"/>
    <xf numFmtId="166" fontId="9" fillId="0" borderId="0"/>
    <xf numFmtId="0" fontId="1" fillId="33" borderId="42" applyNumberFormat="0" applyFont="0" applyAlignment="0" applyProtection="0"/>
    <xf numFmtId="0" fontId="1" fillId="33" borderId="42" applyNumberFormat="0" applyFont="0" applyAlignment="0" applyProtection="0"/>
    <xf numFmtId="0" fontId="1" fillId="33" borderId="42"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alignment vertical="top"/>
    </xf>
    <xf numFmtId="0" fontId="1" fillId="0" borderId="1" applyNumberFormat="0" applyFont="0" applyFill="0" applyAlignment="0" applyProtection="0">
      <alignment vertical="top"/>
    </xf>
    <xf numFmtId="0" fontId="1" fillId="0" borderId="1" applyNumberFormat="0" applyFont="0" applyFill="0" applyAlignment="0" applyProtection="0">
      <alignment vertical="top"/>
    </xf>
    <xf numFmtId="0" fontId="1" fillId="0" borderId="1" applyNumberFormat="0" applyFont="0" applyFill="0" applyAlignment="0" applyProtection="0">
      <alignment vertical="top"/>
    </xf>
  </cellStyleXfs>
  <cellXfs count="283">
    <xf numFmtId="0" fontId="0" fillId="0" borderId="0" xfId="0"/>
    <xf numFmtId="0" fontId="4" fillId="0" borderId="0" xfId="0" applyFont="1"/>
    <xf numFmtId="0" fontId="1" fillId="0" borderId="0" xfId="57"/>
    <xf numFmtId="0" fontId="4" fillId="0" borderId="0" xfId="0" applyFont="1" applyAlignment="1">
      <alignment horizontal="center" vertical="center" wrapText="1"/>
    </xf>
    <xf numFmtId="0" fontId="4" fillId="0" borderId="0" xfId="0" applyFont="1" applyFill="1"/>
    <xf numFmtId="0" fontId="4" fillId="34" borderId="0" xfId="0" applyFont="1" applyFill="1" applyAlignment="1">
      <alignment horizontal="left"/>
    </xf>
    <xf numFmtId="0" fontId="11" fillId="34" borderId="0" xfId="0" applyFont="1" applyFill="1" applyBorder="1" applyAlignment="1" applyProtection="1">
      <alignment horizontal="left" vertical="center" indent="1"/>
    </xf>
    <xf numFmtId="0" fontId="11" fillId="34" borderId="0" xfId="0" applyFont="1" applyFill="1" applyBorder="1" applyAlignment="1" applyProtection="1">
      <alignment horizontal="centerContinuous" vertical="center"/>
    </xf>
    <xf numFmtId="0" fontId="11" fillId="34" borderId="0" xfId="0" applyFont="1" applyFill="1" applyBorder="1" applyAlignment="1" applyProtection="1">
      <alignment horizontal="center" vertical="center"/>
    </xf>
    <xf numFmtId="0" fontId="12" fillId="34" borderId="0" xfId="0" applyFont="1" applyFill="1" applyBorder="1" applyAlignment="1" applyProtection="1">
      <alignment horizontal="center" vertical="center"/>
    </xf>
    <xf numFmtId="0" fontId="4" fillId="34" borderId="0" xfId="0" applyFont="1" applyFill="1" applyAlignment="1">
      <alignment horizontal="center" vertical="center" wrapText="1"/>
    </xf>
    <xf numFmtId="0" fontId="4" fillId="34" borderId="0" xfId="0" applyFont="1" applyFill="1"/>
    <xf numFmtId="0" fontId="14" fillId="0" borderId="0" xfId="57" applyFont="1"/>
    <xf numFmtId="0" fontId="8" fillId="0" borderId="0" xfId="57" applyFont="1" applyFill="1" applyAlignment="1">
      <alignment vertical="center"/>
    </xf>
    <xf numFmtId="14" fontId="8" fillId="0" borderId="0" xfId="57" applyNumberFormat="1" applyFont="1" applyFill="1" applyBorder="1" applyAlignment="1">
      <alignment horizontal="center" vertical="top"/>
    </xf>
    <xf numFmtId="0" fontId="8" fillId="0" borderId="0" xfId="57" applyFont="1" applyFill="1" applyBorder="1" applyAlignment="1">
      <alignment vertical="top" wrapText="1"/>
    </xf>
    <xf numFmtId="0" fontId="8" fillId="0" borderId="0" xfId="57" applyNumberFormat="1" applyFont="1" applyFill="1" applyBorder="1" applyAlignment="1">
      <alignment horizontal="center" vertical="top"/>
    </xf>
    <xf numFmtId="0" fontId="8" fillId="0" borderId="0" xfId="57" applyNumberFormat="1" applyFont="1" applyFill="1" applyBorder="1" applyAlignment="1">
      <alignment vertical="top" wrapText="1"/>
    </xf>
    <xf numFmtId="0" fontId="8" fillId="0" borderId="0" xfId="57" applyNumberFormat="1" applyFont="1" applyFill="1" applyBorder="1" applyAlignment="1">
      <alignment vertical="top"/>
    </xf>
    <xf numFmtId="0" fontId="8" fillId="0" borderId="0" xfId="57" applyNumberFormat="1" applyFont="1" applyFill="1" applyAlignment="1">
      <alignment horizontal="center" vertical="top"/>
    </xf>
    <xf numFmtId="0" fontId="8" fillId="0" borderId="0" xfId="57" applyNumberFormat="1" applyFont="1" applyFill="1" applyAlignment="1">
      <alignment vertical="top"/>
    </xf>
    <xf numFmtId="0" fontId="8" fillId="0" borderId="0" xfId="57" applyFont="1" applyFill="1" applyAlignment="1">
      <alignment horizontal="center" vertical="center"/>
    </xf>
    <xf numFmtId="0" fontId="8" fillId="0" borderId="0" xfId="57" applyFont="1" applyFill="1" applyBorder="1" applyAlignment="1">
      <alignment vertical="top"/>
    </xf>
    <xf numFmtId="0" fontId="8" fillId="0" borderId="0" xfId="57" applyFont="1" applyFill="1" applyBorder="1" applyAlignment="1">
      <alignment horizontal="center" vertical="top"/>
    </xf>
    <xf numFmtId="0" fontId="8" fillId="0" borderId="0" xfId="57" applyFont="1" applyBorder="1" applyAlignment="1">
      <alignment vertical="top" wrapText="1"/>
    </xf>
    <xf numFmtId="0" fontId="15" fillId="0" borderId="0" xfId="57" applyFont="1"/>
    <xf numFmtId="0" fontId="5" fillId="0" borderId="0" xfId="57" applyFont="1"/>
    <xf numFmtId="0" fontId="5" fillId="0" borderId="0" xfId="57" applyFont="1" applyAlignment="1">
      <alignment horizontal="center"/>
    </xf>
    <xf numFmtId="0" fontId="10" fillId="0" borderId="0" xfId="57" applyFont="1"/>
    <xf numFmtId="0" fontId="8" fillId="0" borderId="0" xfId="57" applyFont="1"/>
    <xf numFmtId="0" fontId="8" fillId="0" borderId="0" xfId="57" applyFont="1" applyAlignment="1">
      <alignment horizontal="center"/>
    </xf>
    <xf numFmtId="0" fontId="8" fillId="0" borderId="2" xfId="57" applyFont="1" applyBorder="1" applyAlignment="1">
      <alignment horizontal="center" vertical="top" wrapText="1"/>
    </xf>
    <xf numFmtId="0" fontId="8" fillId="0" borderId="3" xfId="57" applyFont="1" applyBorder="1" applyAlignment="1" applyProtection="1">
      <alignment horizontal="left" vertical="top" wrapText="1" indent="1"/>
      <protection locked="0"/>
    </xf>
    <xf numFmtId="167" fontId="8" fillId="0" borderId="2" xfId="57" applyNumberFormat="1" applyFont="1" applyBorder="1" applyAlignment="1" applyProtection="1">
      <alignment horizontal="left" vertical="top" indent="1"/>
      <protection locked="0"/>
    </xf>
    <xf numFmtId="0" fontId="8" fillId="0" borderId="2" xfId="57" applyFont="1" applyBorder="1" applyAlignment="1" applyProtection="1">
      <alignment horizontal="left" vertical="top" indent="1"/>
      <protection locked="0"/>
    </xf>
    <xf numFmtId="0" fontId="29" fillId="33" borderId="3" xfId="70" applyFont="1" applyBorder="1" applyAlignment="1">
      <alignment vertical="center"/>
    </xf>
    <xf numFmtId="0" fontId="29" fillId="33" borderId="2" xfId="70" applyFont="1" applyBorder="1" applyAlignment="1">
      <alignment vertical="center"/>
    </xf>
    <xf numFmtId="0" fontId="29" fillId="33" borderId="2" xfId="70" applyFont="1" applyBorder="1" applyAlignment="1">
      <alignment horizontal="center" vertical="center"/>
    </xf>
    <xf numFmtId="0" fontId="29" fillId="33" borderId="2" xfId="70" applyFont="1" applyBorder="1" applyAlignment="1">
      <alignment horizontal="left" vertical="center"/>
    </xf>
    <xf numFmtId="0" fontId="1" fillId="0" borderId="0" xfId="57" applyAlignment="1">
      <alignment vertical="center"/>
    </xf>
    <xf numFmtId="0" fontId="27" fillId="23" borderId="4" xfId="15" applyBorder="1" applyAlignment="1">
      <alignment vertical="top" wrapText="1"/>
    </xf>
    <xf numFmtId="0" fontId="27" fillId="23" borderId="4" xfId="15" applyBorder="1" applyAlignment="1" applyProtection="1">
      <alignment horizontal="center" vertical="top"/>
      <protection locked="0"/>
    </xf>
    <xf numFmtId="0" fontId="27" fillId="23" borderId="4" xfId="15" applyBorder="1" applyAlignment="1" applyProtection="1">
      <alignment horizontal="left" vertical="top" wrapText="1"/>
      <protection locked="0"/>
    </xf>
    <xf numFmtId="0" fontId="27" fillId="17" borderId="5" xfId="5" applyBorder="1" applyAlignment="1">
      <alignment vertical="top" wrapText="1"/>
    </xf>
    <xf numFmtId="0" fontId="27" fillId="17" borderId="5" xfId="5" applyBorder="1" applyAlignment="1" applyProtection="1">
      <alignment horizontal="center" vertical="top"/>
      <protection locked="0"/>
    </xf>
    <xf numFmtId="0" fontId="27" fillId="17" borderId="5" xfId="5" applyBorder="1" applyAlignment="1" applyProtection="1">
      <alignment horizontal="left" vertical="top" wrapText="1"/>
      <protection locked="0"/>
    </xf>
    <xf numFmtId="0" fontId="27" fillId="23" borderId="5" xfId="15" applyBorder="1" applyAlignment="1">
      <alignment vertical="top" wrapText="1"/>
    </xf>
    <xf numFmtId="0" fontId="27" fillId="23" borderId="5" xfId="15" applyBorder="1" applyAlignment="1" applyProtection="1">
      <alignment horizontal="center" vertical="top"/>
      <protection locked="0"/>
    </xf>
    <xf numFmtId="0" fontId="27" fillId="23" borderId="5" xfId="15" applyBorder="1" applyAlignment="1" applyProtection="1">
      <alignment horizontal="left" vertical="top" wrapText="1"/>
      <protection locked="0"/>
    </xf>
    <xf numFmtId="0" fontId="27" fillId="23" borderId="6" xfId="15" applyBorder="1" applyAlignment="1">
      <alignment vertical="top" wrapText="1"/>
    </xf>
    <xf numFmtId="0" fontId="27" fillId="23" borderId="6" xfId="15" applyBorder="1" applyAlignment="1" applyProtection="1">
      <alignment horizontal="center" vertical="top"/>
      <protection locked="0"/>
    </xf>
    <xf numFmtId="0" fontId="27" fillId="23" borderId="6" xfId="15" applyBorder="1" applyAlignment="1" applyProtection="1">
      <alignment horizontal="left" vertical="top" wrapText="1"/>
      <protection locked="0"/>
    </xf>
    <xf numFmtId="0" fontId="27" fillId="24" borderId="4" xfId="17" applyBorder="1" applyAlignment="1">
      <alignment vertical="top" wrapText="1"/>
    </xf>
    <xf numFmtId="0" fontId="27" fillId="24" borderId="4" xfId="17" applyBorder="1" applyAlignment="1" applyProtection="1">
      <alignment horizontal="center" vertical="top"/>
      <protection locked="0"/>
    </xf>
    <xf numFmtId="0" fontId="27" fillId="24" borderId="4" xfId="17" applyBorder="1" applyAlignment="1" applyProtection="1">
      <alignment horizontal="left" vertical="top" wrapText="1"/>
      <protection locked="0"/>
    </xf>
    <xf numFmtId="0" fontId="27" fillId="18" borderId="5" xfId="7" applyBorder="1" applyAlignment="1">
      <alignment vertical="top" wrapText="1"/>
    </xf>
    <xf numFmtId="0" fontId="27" fillId="18" borderId="5" xfId="7" applyBorder="1" applyAlignment="1" applyProtection="1">
      <alignment horizontal="center" vertical="top"/>
      <protection locked="0"/>
    </xf>
    <xf numFmtId="0" fontId="27" fillId="18" borderId="5" xfId="7" applyBorder="1" applyAlignment="1" applyProtection="1">
      <alignment horizontal="left" vertical="top" wrapText="1"/>
      <protection locked="0"/>
    </xf>
    <xf numFmtId="0" fontId="27" fillId="24" borderId="5" xfId="17" applyBorder="1" applyAlignment="1">
      <alignment vertical="top" wrapText="1"/>
    </xf>
    <xf numFmtId="0" fontId="27" fillId="24" borderId="5" xfId="17" applyBorder="1" applyAlignment="1" applyProtection="1">
      <alignment horizontal="center" vertical="top"/>
      <protection locked="0"/>
    </xf>
    <xf numFmtId="0" fontId="27" fillId="24" borderId="5" xfId="17" applyBorder="1" applyAlignment="1" applyProtection="1">
      <alignment horizontal="left" vertical="top" wrapText="1"/>
      <protection locked="0"/>
    </xf>
    <xf numFmtId="0" fontId="27" fillId="18" borderId="6" xfId="7" applyBorder="1" applyAlignment="1">
      <alignment vertical="top" wrapText="1"/>
    </xf>
    <xf numFmtId="0" fontId="27" fillId="18" borderId="6" xfId="7" applyBorder="1" applyAlignment="1" applyProtection="1">
      <alignment horizontal="center" vertical="top"/>
      <protection locked="0"/>
    </xf>
    <xf numFmtId="0" fontId="27" fillId="18" borderId="6" xfId="7" applyBorder="1" applyAlignment="1" applyProtection="1">
      <alignment horizontal="left" vertical="top" wrapText="1"/>
      <protection locked="0"/>
    </xf>
    <xf numFmtId="0" fontId="27" fillId="26" borderId="5" xfId="21" applyBorder="1" applyAlignment="1">
      <alignment vertical="top" wrapText="1"/>
    </xf>
    <xf numFmtId="0" fontId="27" fillId="26" borderId="5" xfId="21" applyBorder="1" applyAlignment="1" applyProtection="1">
      <alignment horizontal="center" vertical="top"/>
      <protection locked="0"/>
    </xf>
    <xf numFmtId="0" fontId="27" fillId="26" borderId="5" xfId="21" applyBorder="1" applyAlignment="1" applyProtection="1">
      <alignment horizontal="left" vertical="top" wrapText="1"/>
      <protection locked="0"/>
    </xf>
    <xf numFmtId="0" fontId="27" fillId="20" borderId="5" xfId="10" applyBorder="1" applyAlignment="1">
      <alignment vertical="top" wrapText="1"/>
    </xf>
    <xf numFmtId="0" fontId="27" fillId="20" borderId="5" xfId="10" applyBorder="1" applyAlignment="1" applyProtection="1">
      <alignment horizontal="center" vertical="top"/>
      <protection locked="0"/>
    </xf>
    <xf numFmtId="0" fontId="27" fillId="20" borderId="5" xfId="10" applyBorder="1" applyAlignment="1" applyProtection="1">
      <alignment horizontal="left" vertical="top" wrapText="1"/>
      <protection locked="0"/>
    </xf>
    <xf numFmtId="0" fontId="27" fillId="20" borderId="6" xfId="10" applyBorder="1" applyAlignment="1">
      <alignment vertical="top" wrapText="1"/>
    </xf>
    <xf numFmtId="0" fontId="27" fillId="20" borderId="6" xfId="10" applyBorder="1" applyAlignment="1" applyProtection="1">
      <alignment horizontal="center" vertical="top"/>
      <protection locked="0"/>
    </xf>
    <xf numFmtId="0" fontId="27" fillId="20" borderId="6" xfId="10" applyBorder="1" applyAlignment="1" applyProtection="1">
      <alignment horizontal="left" vertical="top" wrapText="1"/>
      <protection locked="0"/>
    </xf>
    <xf numFmtId="0" fontId="27" fillId="25" borderId="4" xfId="19" applyBorder="1" applyAlignment="1">
      <alignment vertical="top" wrapText="1"/>
    </xf>
    <xf numFmtId="0" fontId="27" fillId="25" borderId="4" xfId="19" applyBorder="1" applyAlignment="1" applyProtection="1">
      <alignment horizontal="center" vertical="top"/>
      <protection locked="0"/>
    </xf>
    <xf numFmtId="0" fontId="27" fillId="25" borderId="4" xfId="19" applyBorder="1" applyAlignment="1" applyProtection="1">
      <alignment vertical="top" wrapText="1"/>
      <protection locked="0"/>
    </xf>
    <xf numFmtId="0" fontId="27" fillId="19" borderId="5" xfId="9" applyBorder="1" applyAlignment="1">
      <alignment vertical="top" wrapText="1"/>
    </xf>
    <xf numFmtId="0" fontId="27" fillId="19" borderId="5" xfId="9" applyBorder="1" applyAlignment="1" applyProtection="1">
      <alignment horizontal="center" vertical="top"/>
      <protection locked="0"/>
    </xf>
    <xf numFmtId="0" fontId="27" fillId="19" borderId="5" xfId="9" applyBorder="1" applyAlignment="1" applyProtection="1">
      <alignment vertical="top" wrapText="1"/>
      <protection locked="0"/>
    </xf>
    <xf numFmtId="0" fontId="27" fillId="25" borderId="6" xfId="19" applyBorder="1" applyAlignment="1">
      <alignment vertical="top" wrapText="1"/>
    </xf>
    <xf numFmtId="0" fontId="27" fillId="25" borderId="6" xfId="19" applyBorder="1" applyAlignment="1" applyProtection="1">
      <alignment horizontal="center" vertical="top"/>
      <protection locked="0"/>
    </xf>
    <xf numFmtId="0" fontId="27" fillId="25" borderId="6" xfId="19" applyBorder="1" applyAlignment="1" applyProtection="1">
      <alignment vertical="top" wrapText="1"/>
      <protection locked="0"/>
    </xf>
    <xf numFmtId="0" fontId="27" fillId="22" borderId="4" xfId="14" applyBorder="1" applyAlignment="1">
      <alignment vertical="top" wrapText="1"/>
    </xf>
    <xf numFmtId="0" fontId="27" fillId="22" borderId="4" xfId="14" applyBorder="1" applyAlignment="1" applyProtection="1">
      <alignment horizontal="center" vertical="top"/>
      <protection locked="0"/>
    </xf>
    <xf numFmtId="0" fontId="27" fillId="22" borderId="4" xfId="14" applyBorder="1" applyAlignment="1" applyProtection="1">
      <alignment horizontal="left" vertical="top" wrapText="1"/>
      <protection locked="0"/>
    </xf>
    <xf numFmtId="0" fontId="27" fillId="16" borderId="5" xfId="3" applyBorder="1" applyAlignment="1">
      <alignment vertical="top" wrapText="1"/>
    </xf>
    <xf numFmtId="0" fontId="27" fillId="16" borderId="5" xfId="3" applyBorder="1" applyAlignment="1" applyProtection="1">
      <alignment horizontal="center" vertical="top"/>
      <protection locked="0"/>
    </xf>
    <xf numFmtId="0" fontId="27" fillId="16" borderId="5" xfId="3" applyBorder="1" applyAlignment="1" applyProtection="1">
      <alignment horizontal="left" vertical="top" wrapText="1"/>
      <protection locked="0"/>
    </xf>
    <xf numFmtId="0" fontId="27" fillId="22" borderId="5" xfId="14" applyBorder="1" applyAlignment="1">
      <alignment vertical="top" wrapText="1"/>
    </xf>
    <xf numFmtId="0" fontId="27" fillId="22" borderId="5" xfId="14" applyBorder="1" applyAlignment="1" applyProtection="1">
      <alignment horizontal="center" vertical="top"/>
      <protection locked="0"/>
    </xf>
    <xf numFmtId="0" fontId="27" fillId="22" borderId="5" xfId="14" applyBorder="1" applyAlignment="1" applyProtection="1">
      <alignment horizontal="left" vertical="top" wrapText="1"/>
      <protection locked="0"/>
    </xf>
    <xf numFmtId="0" fontId="27" fillId="16" borderId="6" xfId="3" applyBorder="1" applyAlignment="1">
      <alignment vertical="top" wrapText="1"/>
    </xf>
    <xf numFmtId="0" fontId="27" fillId="16" borderId="6" xfId="3" applyBorder="1" applyAlignment="1" applyProtection="1">
      <alignment horizontal="center" vertical="top"/>
      <protection locked="0"/>
    </xf>
    <xf numFmtId="0" fontId="27" fillId="16" borderId="6" xfId="3" applyBorder="1" applyAlignment="1" applyProtection="1">
      <alignment horizontal="left" vertical="top" wrapText="1"/>
      <protection locked="0"/>
    </xf>
    <xf numFmtId="0" fontId="27" fillId="21" borderId="4" xfId="12" applyBorder="1" applyAlignment="1">
      <alignment vertical="top" wrapText="1"/>
    </xf>
    <xf numFmtId="0" fontId="27" fillId="21" borderId="4" xfId="12" applyBorder="1" applyAlignment="1" applyProtection="1">
      <alignment horizontal="center" vertical="top"/>
      <protection locked="0"/>
    </xf>
    <xf numFmtId="0" fontId="27" fillId="21" borderId="4" xfId="12" applyBorder="1" applyAlignment="1" applyProtection="1">
      <alignment horizontal="left" vertical="top" wrapText="1"/>
      <protection locked="0"/>
    </xf>
    <xf numFmtId="0" fontId="27" fillId="15" borderId="5" xfId="1" applyBorder="1" applyAlignment="1">
      <alignment vertical="top" wrapText="1"/>
    </xf>
    <xf numFmtId="0" fontId="27" fillId="15" borderId="5" xfId="1" applyBorder="1" applyAlignment="1" applyProtection="1">
      <alignment horizontal="center" vertical="top"/>
      <protection locked="0"/>
    </xf>
    <xf numFmtId="0" fontId="27" fillId="15" borderId="5" xfId="1" applyBorder="1" applyAlignment="1" applyProtection="1">
      <alignment horizontal="left" vertical="top" wrapText="1"/>
      <protection locked="0"/>
    </xf>
    <xf numFmtId="0" fontId="27" fillId="21" borderId="6" xfId="12" applyBorder="1" applyAlignment="1">
      <alignment vertical="top" wrapText="1"/>
    </xf>
    <xf numFmtId="0" fontId="27" fillId="21" borderId="6" xfId="12" applyBorder="1" applyAlignment="1" applyProtection="1">
      <alignment horizontal="center" vertical="top"/>
      <protection locked="0"/>
    </xf>
    <xf numFmtId="0" fontId="27" fillId="21" borderId="6" xfId="12" applyBorder="1" applyAlignment="1" applyProtection="1">
      <alignment horizontal="left" vertical="top" wrapText="1"/>
      <protection locked="0"/>
    </xf>
    <xf numFmtId="0" fontId="27" fillId="17" borderId="6" xfId="5" applyBorder="1" applyAlignment="1">
      <alignment vertical="top" wrapText="1"/>
    </xf>
    <xf numFmtId="0" fontId="27" fillId="17" borderId="6" xfId="5" applyBorder="1" applyAlignment="1" applyProtection="1">
      <alignment horizontal="center" vertical="top"/>
      <protection locked="0"/>
    </xf>
    <xf numFmtId="0" fontId="27" fillId="17" borderId="6" xfId="5" applyBorder="1" applyAlignment="1" applyProtection="1">
      <alignment horizontal="left" vertical="top" wrapText="1"/>
      <protection locked="0"/>
    </xf>
    <xf numFmtId="0" fontId="28" fillId="30" borderId="7" xfId="29" applyBorder="1" applyAlignment="1">
      <alignment horizontal="center" vertical="center" textRotation="90" wrapText="1"/>
    </xf>
    <xf numFmtId="0" fontId="27" fillId="24" borderId="2" xfId="17" applyBorder="1" applyAlignment="1">
      <alignment vertical="top" wrapText="1"/>
    </xf>
    <xf numFmtId="0" fontId="27" fillId="24" borderId="2" xfId="17" applyBorder="1" applyAlignment="1" applyProtection="1">
      <alignment horizontal="center" vertical="top"/>
      <protection locked="0"/>
    </xf>
    <xf numFmtId="0" fontId="27" fillId="24" borderId="2" xfId="17" applyBorder="1" applyAlignment="1" applyProtection="1">
      <alignment horizontal="left" vertical="top" wrapText="1"/>
      <protection locked="0"/>
    </xf>
    <xf numFmtId="0" fontId="28" fillId="32" borderId="3" xfId="32" applyBorder="1" applyAlignment="1">
      <alignment horizontal="center" vertical="center" textRotation="90" wrapText="1"/>
    </xf>
    <xf numFmtId="0" fontId="27" fillId="20" borderId="2" xfId="10" applyBorder="1" applyAlignment="1">
      <alignment vertical="top" wrapText="1"/>
    </xf>
    <xf numFmtId="0" fontId="27" fillId="20" borderId="2" xfId="10" applyBorder="1" applyAlignment="1" applyProtection="1">
      <alignment horizontal="center" vertical="top"/>
      <protection locked="0"/>
    </xf>
    <xf numFmtId="0" fontId="27" fillId="20" borderId="2" xfId="10" applyBorder="1" applyAlignment="1" applyProtection="1">
      <alignment horizontal="left" vertical="top" wrapText="1"/>
      <protection locked="0"/>
    </xf>
    <xf numFmtId="0" fontId="27" fillId="25" borderId="4" xfId="19" applyBorder="1" applyAlignment="1" applyProtection="1">
      <alignment horizontal="left" vertical="top" wrapText="1"/>
      <protection locked="0"/>
    </xf>
    <xf numFmtId="0" fontId="27" fillId="25" borderId="5" xfId="19" applyBorder="1" applyAlignment="1">
      <alignment vertical="top" wrapText="1"/>
    </xf>
    <xf numFmtId="0" fontId="27" fillId="25" borderId="5" xfId="19" applyBorder="1" applyAlignment="1" applyProtection="1">
      <alignment horizontal="center" vertical="top"/>
      <protection locked="0"/>
    </xf>
    <xf numFmtId="0" fontId="27" fillId="25" borderId="5" xfId="19" applyBorder="1" applyAlignment="1" applyProtection="1">
      <alignment horizontal="left" vertical="top" wrapText="1"/>
      <protection locked="0"/>
    </xf>
    <xf numFmtId="0" fontId="27" fillId="19" borderId="5" xfId="9" applyBorder="1" applyAlignment="1" applyProtection="1">
      <alignment horizontal="left" vertical="top" wrapText="1"/>
      <protection locked="0"/>
    </xf>
    <xf numFmtId="0" fontId="27" fillId="19" borderId="6" xfId="9" applyBorder="1" applyAlignment="1">
      <alignment vertical="top" wrapText="1"/>
    </xf>
    <xf numFmtId="0" fontId="27" fillId="19" borderId="6" xfId="9" applyBorder="1" applyAlignment="1" applyProtection="1">
      <alignment horizontal="center" vertical="top"/>
      <protection locked="0"/>
    </xf>
    <xf numFmtId="0" fontId="27" fillId="19" borderId="6" xfId="9" applyBorder="1" applyAlignment="1" applyProtection="1">
      <alignment horizontal="left" vertical="top" wrapText="1"/>
      <protection locked="0"/>
    </xf>
    <xf numFmtId="0" fontId="1" fillId="0" borderId="0" xfId="57" applyAlignment="1">
      <alignment horizontal="center"/>
    </xf>
    <xf numFmtId="0" fontId="1" fillId="0" borderId="0" xfId="57" applyAlignment="1"/>
    <xf numFmtId="0" fontId="16" fillId="14" borderId="8" xfId="0" applyFont="1" applyFill="1" applyBorder="1" applyAlignment="1">
      <alignment vertical="center"/>
    </xf>
    <xf numFmtId="0" fontId="17" fillId="0" borderId="9" xfId="0" applyFont="1" applyBorder="1" applyAlignment="1">
      <alignment vertical="center"/>
    </xf>
    <xf numFmtId="0" fontId="18" fillId="0" borderId="0" xfId="0" applyFont="1" applyAlignment="1" applyProtection="1">
      <alignment vertical="center"/>
      <protection locked="0"/>
    </xf>
    <xf numFmtId="0" fontId="4" fillId="34" borderId="0" xfId="0" applyFont="1" applyFill="1" applyBorder="1" applyAlignment="1" applyProtection="1">
      <alignment horizontal="left" wrapText="1" indent="1"/>
    </xf>
    <xf numFmtId="0" fontId="4" fillId="34" borderId="0" xfId="0" applyFont="1" applyFill="1" applyBorder="1" applyAlignment="1" applyProtection="1">
      <alignment horizontal="center" wrapText="1"/>
    </xf>
    <xf numFmtId="164" fontId="4" fillId="34" borderId="0" xfId="0" applyNumberFormat="1" applyFont="1" applyFill="1" applyBorder="1" applyAlignment="1" applyProtection="1">
      <alignment horizontal="center" wrapText="1"/>
    </xf>
    <xf numFmtId="0" fontId="4" fillId="34" borderId="0" xfId="0" applyFont="1" applyFill="1" applyBorder="1" applyProtection="1"/>
    <xf numFmtId="0" fontId="4" fillId="0" borderId="0" xfId="0" applyFont="1" applyAlignment="1" applyProtection="1">
      <alignment horizontal="center"/>
    </xf>
    <xf numFmtId="0" fontId="4" fillId="0" borderId="0" xfId="0" applyFont="1" applyBorder="1" applyAlignment="1" applyProtection="1">
      <alignment horizontal="left" indent="1"/>
      <protection locked="0"/>
    </xf>
    <xf numFmtId="0" fontId="4" fillId="0" borderId="0" xfId="0" applyFont="1" applyBorder="1" applyAlignment="1" applyProtection="1">
      <alignment horizontal="center"/>
      <protection locked="0"/>
    </xf>
    <xf numFmtId="14" fontId="4" fillId="0" borderId="0" xfId="0" applyNumberFormat="1" applyFon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0" fontId="4" fillId="0" borderId="0" xfId="0" applyFont="1" applyBorder="1" applyProtection="1">
      <protection locked="0"/>
    </xf>
    <xf numFmtId="0" fontId="16" fillId="14" borderId="10" xfId="0" applyFont="1" applyFill="1" applyBorder="1" applyAlignment="1">
      <alignment vertical="center"/>
    </xf>
    <xf numFmtId="0" fontId="16" fillId="14" borderId="11" xfId="0" applyFont="1" applyFill="1" applyBorder="1" applyAlignment="1">
      <alignment vertical="center"/>
    </xf>
    <xf numFmtId="0" fontId="4" fillId="0" borderId="12" xfId="0" applyFont="1" applyBorder="1"/>
    <xf numFmtId="0" fontId="4" fillId="0" borderId="0" xfId="0" applyNumberFormat="1" applyFont="1" applyBorder="1" applyAlignment="1" applyProtection="1">
      <alignment horizontal="center"/>
      <protection locked="0"/>
    </xf>
    <xf numFmtId="0" fontId="4" fillId="0" borderId="0" xfId="0" applyNumberFormat="1" applyFont="1" applyBorder="1" applyProtection="1">
      <protection locked="0"/>
    </xf>
    <xf numFmtId="0" fontId="4" fillId="0" borderId="0" xfId="0" applyNumberFormat="1" applyFont="1" applyFill="1" applyBorder="1" applyAlignment="1" applyProtection="1">
      <alignment horizontal="center"/>
      <protection locked="0"/>
    </xf>
    <xf numFmtId="0" fontId="11" fillId="34" borderId="0" xfId="0" applyNumberFormat="1" applyFont="1" applyFill="1" applyBorder="1" applyAlignment="1" applyProtection="1">
      <alignment horizontal="center" vertical="center"/>
    </xf>
    <xf numFmtId="0" fontId="4" fillId="34" borderId="0" xfId="0" applyFont="1" applyFill="1" applyAlignment="1">
      <alignment vertical="center" wrapText="1"/>
    </xf>
    <xf numFmtId="0" fontId="4" fillId="0" borderId="0" xfId="0" applyFont="1" applyAlignment="1" applyProtection="1">
      <alignment horizontal="center"/>
      <protection locked="0"/>
    </xf>
    <xf numFmtId="0" fontId="4" fillId="0" borderId="0" xfId="0" applyNumberFormat="1" applyFont="1" applyAlignment="1" applyProtection="1">
      <alignment horizontal="center"/>
      <protection locked="0"/>
    </xf>
    <xf numFmtId="0" fontId="4" fillId="0" borderId="0" xfId="0" applyFont="1" applyProtection="1">
      <protection locked="0"/>
    </xf>
    <xf numFmtId="0" fontId="11" fillId="34" borderId="0" xfId="0" applyFont="1" applyFill="1" applyBorder="1" applyAlignment="1" applyProtection="1">
      <alignment horizontal="center" vertical="center"/>
      <protection locked="0"/>
    </xf>
    <xf numFmtId="0" fontId="22" fillId="0" borderId="0" xfId="57" applyNumberFormat="1" applyFont="1" applyFill="1" applyAlignment="1">
      <alignment horizontal="center" vertical="top"/>
    </xf>
    <xf numFmtId="0" fontId="22" fillId="0" borderId="0" xfId="57" applyNumberFormat="1" applyFont="1" applyFill="1" applyAlignment="1">
      <alignment vertical="top"/>
    </xf>
    <xf numFmtId="0" fontId="4" fillId="0" borderId="0" xfId="0" applyFont="1" applyBorder="1"/>
    <xf numFmtId="0" fontId="4" fillId="0" borderId="0" xfId="0" applyFont="1" applyBorder="1" applyAlignment="1">
      <alignment horizontal="center" vertical="center" wrapText="1"/>
    </xf>
    <xf numFmtId="0" fontId="4" fillId="0" borderId="43" xfId="0" applyFont="1" applyBorder="1"/>
    <xf numFmtId="0" fontId="4" fillId="0" borderId="44" xfId="0" applyFont="1" applyBorder="1"/>
    <xf numFmtId="0" fontId="4" fillId="35" borderId="0" xfId="0" applyFont="1" applyFill="1" applyAlignment="1" applyProtection="1">
      <alignment horizontal="center" wrapText="1"/>
    </xf>
    <xf numFmtId="0" fontId="4" fillId="35" borderId="0" xfId="0" applyNumberFormat="1" applyFont="1" applyFill="1" applyAlignment="1" applyProtection="1">
      <alignment horizontal="center"/>
      <protection locked="0"/>
    </xf>
    <xf numFmtId="0" fontId="4" fillId="36" borderId="0" xfId="0" applyFont="1" applyFill="1" applyBorder="1" applyAlignment="1" applyProtection="1">
      <alignment horizontal="center" wrapText="1"/>
    </xf>
    <xf numFmtId="0" fontId="4" fillId="36" borderId="0" xfId="0" applyNumberFormat="1" applyFont="1" applyFill="1" applyBorder="1" applyAlignment="1" applyProtection="1">
      <alignment horizontal="center"/>
      <protection locked="0"/>
    </xf>
    <xf numFmtId="0" fontId="4" fillId="37" borderId="0" xfId="0" applyNumberFormat="1" applyFont="1" applyFill="1" applyBorder="1" applyAlignment="1" applyProtection="1">
      <alignment horizontal="center"/>
      <protection locked="0"/>
    </xf>
    <xf numFmtId="0" fontId="4" fillId="38" borderId="0" xfId="0" applyFont="1" applyFill="1" applyBorder="1" applyAlignment="1" applyProtection="1">
      <alignment horizontal="center"/>
    </xf>
    <xf numFmtId="0" fontId="4" fillId="38" borderId="0" xfId="0" applyNumberFormat="1" applyFont="1" applyFill="1" applyBorder="1" applyAlignment="1" applyProtection="1">
      <alignment horizontal="center"/>
      <protection locked="0"/>
    </xf>
    <xf numFmtId="164" fontId="4" fillId="37" borderId="0" xfId="0" applyNumberFormat="1" applyFont="1" applyFill="1" applyBorder="1" applyAlignment="1" applyProtection="1">
      <alignment horizontal="center" wrapText="1"/>
    </xf>
    <xf numFmtId="164" fontId="4" fillId="37" borderId="0" xfId="0" applyNumberFormat="1" applyFont="1" applyFill="1" applyBorder="1" applyAlignment="1" applyProtection="1">
      <alignment horizontal="center"/>
    </xf>
    <xf numFmtId="0" fontId="17" fillId="0" borderId="0" xfId="0" applyFont="1" applyBorder="1" applyAlignment="1">
      <alignment vertical="center"/>
    </xf>
    <xf numFmtId="0" fontId="17" fillId="0" borderId="45" xfId="0" applyFont="1" applyBorder="1" applyAlignment="1">
      <alignment vertical="center"/>
    </xf>
    <xf numFmtId="0" fontId="4" fillId="0" borderId="46" xfId="0" applyFont="1" applyBorder="1"/>
    <xf numFmtId="0" fontId="4" fillId="0" borderId="0" xfId="0" applyFont="1" applyFill="1" applyAlignment="1" applyProtection="1">
      <alignment horizontal="left" vertical="center" indent="1"/>
    </xf>
    <xf numFmtId="0" fontId="7" fillId="34" borderId="0" xfId="0" applyFont="1" applyFill="1" applyAlignment="1" applyProtection="1">
      <alignment horizontal="right" vertical="center"/>
    </xf>
    <xf numFmtId="0" fontId="4" fillId="36" borderId="0" xfId="0" applyFont="1" applyFill="1" applyAlignment="1" applyProtection="1">
      <alignment horizontal="right" vertical="center"/>
    </xf>
    <xf numFmtId="0" fontId="4" fillId="36" borderId="0" xfId="0" applyFont="1" applyFill="1" applyProtection="1"/>
    <xf numFmtId="0" fontId="4" fillId="36" borderId="0" xfId="0" applyFont="1" applyFill="1" applyAlignment="1" applyProtection="1">
      <alignment horizontal="center"/>
    </xf>
    <xf numFmtId="0" fontId="4" fillId="36" borderId="0" xfId="0" applyFont="1" applyFill="1" applyAlignment="1" applyProtection="1">
      <alignment horizontal="left" vertical="center" indent="1"/>
    </xf>
    <xf numFmtId="0" fontId="13" fillId="0" borderId="0" xfId="0" applyFont="1" applyAlignment="1" applyProtection="1">
      <alignment vertical="center"/>
    </xf>
    <xf numFmtId="0" fontId="4" fillId="34" borderId="0" xfId="0" applyFont="1" applyFill="1" applyAlignment="1">
      <alignment horizontal="right" vertical="center"/>
    </xf>
    <xf numFmtId="0" fontId="4" fillId="0" borderId="0" xfId="0" applyFont="1" applyFill="1" applyAlignment="1" applyProtection="1">
      <alignment horizontal="left" vertical="center" indent="1"/>
      <protection locked="0"/>
    </xf>
    <xf numFmtId="0" fontId="4" fillId="34" borderId="0" xfId="0" applyFont="1" applyFill="1" applyAlignment="1">
      <alignment horizontal="right" vertical="center"/>
    </xf>
    <xf numFmtId="0" fontId="17" fillId="0" borderId="43" xfId="0" applyFont="1" applyBorder="1"/>
    <xf numFmtId="0" fontId="11" fillId="34" borderId="0" xfId="0" applyFont="1" applyFill="1" applyBorder="1" applyAlignment="1" applyProtection="1">
      <alignment horizontal="left" vertical="center" indent="1"/>
      <protection locked="0"/>
    </xf>
    <xf numFmtId="0" fontId="14" fillId="0" borderId="0" xfId="57" applyFont="1" applyFill="1" applyBorder="1" applyAlignment="1" applyProtection="1">
      <alignment vertical="center"/>
    </xf>
    <xf numFmtId="168" fontId="30" fillId="39" borderId="0" xfId="57" applyNumberFormat="1" applyFont="1" applyFill="1" applyBorder="1" applyAlignment="1">
      <alignment vertical="center"/>
    </xf>
    <xf numFmtId="0" fontId="8" fillId="0" borderId="0" xfId="57" applyFont="1" applyAlignment="1">
      <alignment vertical="center"/>
    </xf>
    <xf numFmtId="0" fontId="8" fillId="0" borderId="13" xfId="57" applyFont="1" applyBorder="1" applyAlignment="1" applyProtection="1">
      <alignment horizontal="left" vertical="center" indent="1"/>
    </xf>
    <xf numFmtId="0" fontId="8" fillId="0" borderId="0" xfId="57" applyFont="1" applyFill="1" applyBorder="1" applyAlignment="1" applyProtection="1">
      <alignment horizontal="left" vertical="center"/>
    </xf>
    <xf numFmtId="0" fontId="8" fillId="40" borderId="0" xfId="57" applyFont="1" applyFill="1" applyAlignment="1">
      <alignment vertical="center"/>
    </xf>
    <xf numFmtId="0" fontId="31" fillId="34" borderId="3" xfId="57" applyFont="1" applyFill="1" applyBorder="1" applyAlignment="1">
      <alignment vertical="center"/>
    </xf>
    <xf numFmtId="0" fontId="31" fillId="34" borderId="14" xfId="57" applyFont="1" applyFill="1" applyBorder="1" applyAlignment="1">
      <alignment vertical="center"/>
    </xf>
    <xf numFmtId="0" fontId="31" fillId="34" borderId="15" xfId="57" applyFont="1" applyFill="1" applyBorder="1" applyAlignment="1">
      <alignment vertical="center"/>
    </xf>
    <xf numFmtId="0" fontId="31" fillId="34" borderId="16" xfId="57" applyFont="1" applyFill="1" applyBorder="1" applyAlignment="1">
      <alignment vertical="center"/>
    </xf>
    <xf numFmtId="0" fontId="31" fillId="41" borderId="0" xfId="57" applyFont="1" applyFill="1" applyBorder="1" applyAlignment="1">
      <alignment vertical="center"/>
    </xf>
    <xf numFmtId="0" fontId="8" fillId="0" borderId="17" xfId="57" quotePrefix="1" applyFont="1" applyBorder="1" applyAlignment="1" applyProtection="1">
      <alignment horizontal="left" vertical="center" indent="1"/>
    </xf>
    <xf numFmtId="0" fontId="8" fillId="0" borderId="0" xfId="57" quotePrefix="1" applyFont="1" applyFill="1" applyBorder="1" applyAlignment="1" applyProtection="1">
      <alignment horizontal="left" vertical="center"/>
    </xf>
    <xf numFmtId="0" fontId="31" fillId="34" borderId="18" xfId="57" applyFont="1" applyFill="1" applyBorder="1" applyAlignment="1">
      <alignment vertical="center"/>
    </xf>
    <xf numFmtId="0" fontId="31" fillId="34" borderId="0" xfId="57" applyFont="1" applyFill="1" applyBorder="1" applyAlignment="1">
      <alignment vertical="center"/>
    </xf>
    <xf numFmtId="0" fontId="31" fillId="34" borderId="19" xfId="57" applyFont="1" applyFill="1" applyBorder="1" applyAlignment="1">
      <alignment vertical="center"/>
    </xf>
    <xf numFmtId="0" fontId="8" fillId="0" borderId="0" xfId="57" quotePrefix="1" applyFont="1" applyFill="1" applyBorder="1" applyAlignment="1" applyProtection="1">
      <alignment vertical="center"/>
    </xf>
    <xf numFmtId="0" fontId="31" fillId="34" borderId="19" xfId="57" quotePrefix="1" applyFont="1" applyFill="1" applyBorder="1" applyAlignment="1">
      <alignment vertical="center"/>
    </xf>
    <xf numFmtId="49" fontId="31" fillId="34" borderId="18" xfId="57" quotePrefix="1" applyNumberFormat="1" applyFont="1" applyFill="1" applyBorder="1" applyAlignment="1">
      <alignment vertical="center"/>
    </xf>
    <xf numFmtId="0" fontId="31" fillId="34" borderId="0" xfId="57" quotePrefix="1" applyFont="1" applyFill="1" applyBorder="1" applyAlignment="1">
      <alignment vertical="center"/>
    </xf>
    <xf numFmtId="49" fontId="31" fillId="34" borderId="0" xfId="57" applyNumberFormat="1" applyFont="1" applyFill="1" applyBorder="1" applyAlignment="1">
      <alignment vertical="center"/>
    </xf>
    <xf numFmtId="0" fontId="8" fillId="0" borderId="17" xfId="57" applyFont="1" applyBorder="1" applyAlignment="1" applyProtection="1">
      <alignment horizontal="left" vertical="center" indent="1"/>
    </xf>
    <xf numFmtId="9" fontId="8" fillId="0" borderId="17" xfId="57" applyNumberFormat="1" applyFont="1" applyBorder="1" applyAlignment="1" applyProtection="1">
      <alignment horizontal="left" vertical="center" indent="1"/>
    </xf>
    <xf numFmtId="49" fontId="31" fillId="34" borderId="18" xfId="57" applyNumberFormat="1" applyFont="1" applyFill="1" applyBorder="1" applyAlignment="1">
      <alignment vertical="center"/>
    </xf>
    <xf numFmtId="0" fontId="14" fillId="42" borderId="20" xfId="57" applyFont="1" applyFill="1" applyBorder="1" applyAlignment="1">
      <alignment vertical="center"/>
    </xf>
    <xf numFmtId="0" fontId="14" fillId="42" borderId="21" xfId="57" applyFont="1" applyFill="1" applyBorder="1" applyAlignment="1">
      <alignment horizontal="right" vertical="center"/>
    </xf>
    <xf numFmtId="0" fontId="14" fillId="42" borderId="21" xfId="57" applyFont="1" applyFill="1" applyBorder="1" applyAlignment="1">
      <alignment vertical="center"/>
    </xf>
    <xf numFmtId="0" fontId="14" fillId="42" borderId="22" xfId="57" applyFont="1" applyFill="1" applyBorder="1" applyAlignment="1">
      <alignment vertical="center"/>
    </xf>
    <xf numFmtId="0" fontId="14" fillId="0" borderId="0" xfId="57" applyFont="1" applyFill="1" applyBorder="1" applyAlignment="1" applyProtection="1">
      <alignment horizontal="center" vertical="center"/>
    </xf>
    <xf numFmtId="0" fontId="8" fillId="0" borderId="0" xfId="57" applyFont="1" applyFill="1" applyAlignment="1" applyProtection="1">
      <alignment vertical="center"/>
    </xf>
    <xf numFmtId="0" fontId="32" fillId="0" borderId="0" xfId="57" applyFont="1" applyFill="1" applyBorder="1" applyAlignment="1" applyProtection="1">
      <alignment vertical="center"/>
    </xf>
    <xf numFmtId="0" fontId="4" fillId="0" borderId="0" xfId="57" applyFont="1" applyFill="1" applyBorder="1" applyAlignment="1" applyProtection="1">
      <alignment horizontal="center" vertical="center"/>
    </xf>
    <xf numFmtId="0" fontId="8" fillId="0" borderId="23" xfId="57" applyFont="1" applyFill="1" applyBorder="1" applyAlignment="1" applyProtection="1">
      <alignment horizontal="left" vertical="center"/>
    </xf>
    <xf numFmtId="0" fontId="8" fillId="0" borderId="17" xfId="57" applyFont="1" applyBorder="1" applyAlignment="1" applyProtection="1">
      <alignment horizontal="left" vertical="center"/>
      <protection locked="0"/>
    </xf>
    <xf numFmtId="0" fontId="8" fillId="0" borderId="24" xfId="57" applyFont="1" applyFill="1" applyBorder="1" applyAlignment="1">
      <alignment horizontal="left" vertical="center"/>
    </xf>
    <xf numFmtId="49" fontId="31" fillId="34" borderId="25" xfId="57" applyNumberFormat="1" applyFont="1" applyFill="1" applyBorder="1" applyAlignment="1">
      <alignment vertical="center"/>
    </xf>
    <xf numFmtId="0" fontId="31" fillId="34" borderId="26" xfId="57" applyFont="1" applyFill="1" applyBorder="1" applyAlignment="1">
      <alignment vertical="center"/>
    </xf>
    <xf numFmtId="0" fontId="31" fillId="34" borderId="27" xfId="57" applyFont="1" applyFill="1" applyBorder="1" applyAlignment="1">
      <alignment vertical="center"/>
    </xf>
    <xf numFmtId="0" fontId="31" fillId="34" borderId="25" xfId="57" applyFont="1" applyFill="1" applyBorder="1" applyAlignment="1">
      <alignment vertical="center"/>
    </xf>
    <xf numFmtId="0" fontId="31" fillId="34" borderId="26" xfId="57" quotePrefix="1" applyFont="1" applyFill="1" applyBorder="1" applyAlignment="1">
      <alignment vertical="center"/>
    </xf>
    <xf numFmtId="0" fontId="31" fillId="34" borderId="27" xfId="57" quotePrefix="1" applyFont="1" applyFill="1" applyBorder="1" applyAlignment="1">
      <alignment vertical="center"/>
    </xf>
    <xf numFmtId="0" fontId="8" fillId="0" borderId="17" xfId="57" applyFont="1" applyFill="1" applyBorder="1" applyAlignment="1" applyProtection="1">
      <alignment horizontal="left" vertical="center"/>
    </xf>
    <xf numFmtId="0" fontId="31" fillId="34" borderId="15" xfId="57" quotePrefix="1" applyFont="1" applyFill="1" applyBorder="1" applyAlignment="1">
      <alignment vertical="center"/>
    </xf>
    <xf numFmtId="0" fontId="8" fillId="0" borderId="0" xfId="57" applyFont="1" applyFill="1" applyBorder="1" applyAlignment="1" applyProtection="1">
      <alignment horizontal="center" vertical="center"/>
    </xf>
    <xf numFmtId="0" fontId="1" fillId="0" borderId="0" xfId="57" applyFill="1" applyProtection="1"/>
    <xf numFmtId="168" fontId="30" fillId="40" borderId="0" xfId="57" applyNumberFormat="1" applyFont="1" applyFill="1" applyBorder="1" applyAlignment="1">
      <alignment vertical="center"/>
    </xf>
    <xf numFmtId="14" fontId="14" fillId="0" borderId="0" xfId="57" applyNumberFormat="1" applyFont="1"/>
    <xf numFmtId="14" fontId="8" fillId="0" borderId="0" xfId="57" applyNumberFormat="1" applyFont="1" applyFill="1" applyAlignment="1">
      <alignment horizontal="center" vertical="center"/>
    </xf>
    <xf numFmtId="0" fontId="26" fillId="0" borderId="0" xfId="57" applyNumberFormat="1" applyFont="1" applyFill="1" applyAlignment="1">
      <alignment horizontal="center" vertical="top"/>
    </xf>
    <xf numFmtId="0" fontId="26" fillId="0" borderId="0" xfId="57" applyNumberFormat="1" applyFont="1" applyFill="1" applyAlignment="1">
      <alignment vertical="top"/>
    </xf>
    <xf numFmtId="0" fontId="4" fillId="0" borderId="0" xfId="0" quotePrefix="1" applyFont="1" applyFill="1" applyAlignment="1" applyProtection="1">
      <alignment horizontal="left" vertical="center" indent="1"/>
      <protection locked="0"/>
    </xf>
    <xf numFmtId="0" fontId="35" fillId="0" borderId="47" xfId="0" applyFont="1" applyBorder="1" applyAlignment="1">
      <alignment vertical="top" wrapText="1"/>
    </xf>
    <xf numFmtId="0" fontId="28" fillId="29" borderId="7" xfId="27" applyBorder="1" applyAlignment="1">
      <alignment horizontal="center" vertical="center" textRotation="90" wrapText="1"/>
    </xf>
    <xf numFmtId="0" fontId="28" fillId="29" borderId="25" xfId="27" applyBorder="1" applyAlignment="1">
      <alignment horizontal="center" vertical="center" textRotation="90" wrapText="1"/>
    </xf>
    <xf numFmtId="0" fontId="28" fillId="31" borderId="3" xfId="31" applyBorder="1" applyAlignment="1">
      <alignment horizontal="center" vertical="center" textRotation="90" wrapText="1"/>
    </xf>
    <xf numFmtId="0" fontId="1" fillId="0" borderId="0" xfId="57" applyAlignment="1">
      <alignment horizontal="left"/>
    </xf>
    <xf numFmtId="0" fontId="28" fillId="29" borderId="3" xfId="27" applyBorder="1" applyAlignment="1">
      <alignment horizontal="center" vertical="center" textRotation="90" wrapText="1"/>
    </xf>
    <xf numFmtId="0" fontId="28" fillId="30" borderId="3" xfId="29" applyBorder="1" applyAlignment="1">
      <alignment horizontal="center" vertical="center" textRotation="90" wrapText="1"/>
    </xf>
    <xf numFmtId="0" fontId="28" fillId="32" borderId="3" xfId="32" applyBorder="1" applyAlignment="1">
      <alignment horizontal="center" vertical="center" textRotation="90" wrapText="1"/>
    </xf>
    <xf numFmtId="0" fontId="28" fillId="28" borderId="3" xfId="25" applyBorder="1" applyAlignment="1">
      <alignment horizontal="center" vertical="center" textRotation="90" wrapText="1"/>
    </xf>
    <xf numFmtId="0" fontId="28" fillId="27" borderId="3" xfId="23" applyBorder="1" applyAlignment="1">
      <alignment horizontal="center" vertical="center" textRotation="90" wrapText="1"/>
    </xf>
    <xf numFmtId="2" fontId="4" fillId="34" borderId="0" xfId="0" applyNumberFormat="1" applyFont="1" applyFill="1" applyAlignment="1">
      <alignment horizontal="center"/>
    </xf>
    <xf numFmtId="9" fontId="4" fillId="0" borderId="0" xfId="73" applyFont="1" applyFill="1" applyAlignment="1" applyProtection="1">
      <alignment horizontal="center" vertical="center"/>
      <protection locked="0"/>
    </xf>
    <xf numFmtId="0" fontId="4" fillId="34" borderId="0" xfId="0" applyFont="1" applyFill="1" applyAlignment="1">
      <alignment horizontal="center" vertical="center" wrapText="1"/>
    </xf>
    <xf numFmtId="0" fontId="4" fillId="43" borderId="0" xfId="0" applyFont="1" applyFill="1" applyAlignment="1">
      <alignment horizontal="center"/>
    </xf>
    <xf numFmtId="0" fontId="4" fillId="34" borderId="0" xfId="0" applyFont="1" applyFill="1" applyAlignment="1">
      <alignment horizontal="right" vertical="center"/>
    </xf>
    <xf numFmtId="0" fontId="4" fillId="0" borderId="0" xfId="0" applyFont="1" applyFill="1" applyAlignment="1" applyProtection="1">
      <alignment horizontal="left" vertical="center" indent="1"/>
      <protection locked="0"/>
    </xf>
    <xf numFmtId="0" fontId="4" fillId="34" borderId="0" xfId="0" applyFont="1" applyFill="1" applyAlignment="1">
      <alignment horizontal="left" vertical="center" indent="1"/>
    </xf>
    <xf numFmtId="0" fontId="4" fillId="34" borderId="0" xfId="0" applyFont="1" applyFill="1" applyAlignment="1" applyProtection="1">
      <alignment horizontal="right" vertical="center"/>
    </xf>
    <xf numFmtId="0" fontId="4" fillId="0" borderId="12" xfId="0" applyFont="1" applyBorder="1" applyAlignment="1">
      <alignment horizontal="center"/>
    </xf>
    <xf numFmtId="0" fontId="33" fillId="0" borderId="0" xfId="0" applyFont="1" applyFill="1" applyAlignment="1">
      <alignment horizontal="center" wrapText="1"/>
    </xf>
    <xf numFmtId="0" fontId="14" fillId="0" borderId="28" xfId="57" applyFont="1" applyFill="1" applyBorder="1" applyAlignment="1">
      <alignment vertical="center"/>
    </xf>
    <xf numFmtId="0" fontId="30" fillId="40" borderId="0" xfId="57" applyFont="1" applyFill="1" applyBorder="1" applyAlignment="1">
      <alignment vertical="center"/>
    </xf>
    <xf numFmtId="0" fontId="30" fillId="40" borderId="0" xfId="57" applyFont="1" applyFill="1" applyBorder="1" applyAlignment="1">
      <alignment horizontal="right" vertical="center"/>
    </xf>
    <xf numFmtId="0" fontId="8" fillId="0" borderId="29" xfId="57" applyFont="1" applyBorder="1" applyAlignment="1">
      <alignment horizontal="right" vertical="center"/>
    </xf>
    <xf numFmtId="0" fontId="8" fillId="0" borderId="26" xfId="57" applyFont="1" applyBorder="1" applyAlignment="1">
      <alignment horizontal="right" vertical="center"/>
    </xf>
    <xf numFmtId="0" fontId="8" fillId="0" borderId="30" xfId="57" applyFont="1" applyBorder="1" applyAlignment="1">
      <alignment horizontal="right" vertical="center"/>
    </xf>
    <xf numFmtId="0" fontId="8" fillId="0" borderId="14" xfId="57" applyFont="1" applyBorder="1" applyAlignment="1">
      <alignment horizontal="right" vertical="center"/>
    </xf>
    <xf numFmtId="0" fontId="8" fillId="0" borderId="30" xfId="57" applyFont="1" applyBorder="1" applyAlignment="1">
      <alignment horizontal="right" vertical="center" wrapText="1"/>
    </xf>
    <xf numFmtId="0" fontId="8" fillId="0" borderId="14" xfId="57" applyFont="1" applyBorder="1" applyAlignment="1">
      <alignment horizontal="right" vertical="center" wrapText="1"/>
    </xf>
    <xf numFmtId="0" fontId="32" fillId="0" borderId="0" xfId="57" applyFont="1" applyBorder="1" applyAlignment="1">
      <alignment vertical="center"/>
    </xf>
    <xf numFmtId="0" fontId="34" fillId="34" borderId="31" xfId="57" applyFont="1" applyFill="1" applyBorder="1" applyAlignment="1">
      <alignment horizontal="center" vertical="center"/>
    </xf>
    <xf numFmtId="0" fontId="34" fillId="34" borderId="32" xfId="57" applyFont="1" applyFill="1" applyBorder="1" applyAlignment="1">
      <alignment horizontal="center" vertical="center"/>
    </xf>
    <xf numFmtId="0" fontId="34" fillId="34" borderId="33" xfId="57" applyFont="1" applyFill="1" applyBorder="1" applyAlignment="1">
      <alignment horizontal="center" vertical="center"/>
    </xf>
    <xf numFmtId="0" fontId="8" fillId="0" borderId="34" xfId="57" applyFont="1" applyFill="1" applyBorder="1" applyAlignment="1">
      <alignment horizontal="right" vertical="center"/>
    </xf>
    <xf numFmtId="0" fontId="8" fillId="0" borderId="35" xfId="57" applyFont="1" applyFill="1" applyBorder="1" applyAlignment="1">
      <alignment horizontal="right" vertical="center"/>
    </xf>
    <xf numFmtId="0" fontId="8" fillId="0" borderId="30" xfId="57" applyFont="1" applyFill="1" applyBorder="1" applyAlignment="1">
      <alignment horizontal="right" vertical="center"/>
    </xf>
    <xf numFmtId="0" fontId="8" fillId="0" borderId="14" xfId="57" applyFont="1" applyFill="1" applyBorder="1" applyAlignment="1">
      <alignment horizontal="right" vertical="center"/>
    </xf>
    <xf numFmtId="0" fontId="31" fillId="34" borderId="3" xfId="57" applyFont="1" applyFill="1" applyBorder="1" applyAlignment="1">
      <alignment horizontal="center" vertical="center"/>
    </xf>
    <xf numFmtId="0" fontId="31" fillId="34" borderId="14" xfId="57" applyFont="1" applyFill="1" applyBorder="1" applyAlignment="1">
      <alignment horizontal="center" vertical="center"/>
    </xf>
    <xf numFmtId="0" fontId="14" fillId="42" borderId="20" xfId="57" applyFont="1" applyFill="1" applyBorder="1" applyAlignment="1">
      <alignment horizontal="right" vertical="center"/>
    </xf>
    <xf numFmtId="0" fontId="14" fillId="42" borderId="21" xfId="57" applyFont="1" applyFill="1" applyBorder="1" applyAlignment="1">
      <alignment horizontal="right" vertical="center"/>
    </xf>
    <xf numFmtId="14" fontId="8" fillId="34" borderId="36" xfId="57" applyNumberFormat="1" applyFont="1" applyFill="1" applyBorder="1" applyAlignment="1">
      <alignment horizontal="center" vertical="center"/>
    </xf>
    <xf numFmtId="14" fontId="8" fillId="34" borderId="37" xfId="57" applyNumberFormat="1" applyFont="1" applyFill="1" applyBorder="1" applyAlignment="1">
      <alignment horizontal="center" vertical="center"/>
    </xf>
    <xf numFmtId="14" fontId="8" fillId="34" borderId="38" xfId="57" applyNumberFormat="1" applyFont="1" applyFill="1" applyBorder="1" applyAlignment="1">
      <alignment horizontal="center" vertical="center"/>
    </xf>
    <xf numFmtId="14" fontId="8" fillId="34" borderId="0" xfId="57" applyNumberFormat="1" applyFont="1" applyFill="1" applyBorder="1" applyAlignment="1">
      <alignment horizontal="center" vertical="center"/>
    </xf>
    <xf numFmtId="14" fontId="8" fillId="34" borderId="39" xfId="57" applyNumberFormat="1" applyFont="1" applyFill="1" applyBorder="1" applyAlignment="1">
      <alignment horizontal="center" vertical="center"/>
    </xf>
    <xf numFmtId="14" fontId="8" fillId="34" borderId="28" xfId="57" applyNumberFormat="1" applyFont="1" applyFill="1" applyBorder="1" applyAlignment="1">
      <alignment horizontal="center" vertical="center"/>
    </xf>
    <xf numFmtId="0" fontId="8" fillId="34" borderId="37" xfId="57" applyFont="1" applyFill="1" applyBorder="1" applyAlignment="1">
      <alignment horizontal="center" vertical="center"/>
    </xf>
    <xf numFmtId="0" fontId="8" fillId="34" borderId="40" xfId="57" applyFont="1" applyFill="1" applyBorder="1" applyAlignment="1">
      <alignment horizontal="center" vertical="center"/>
    </xf>
    <xf numFmtId="0" fontId="8" fillId="34" borderId="0" xfId="57" applyFont="1" applyFill="1" applyBorder="1" applyAlignment="1">
      <alignment horizontal="center" vertical="center"/>
    </xf>
    <xf numFmtId="0" fontId="8" fillId="34" borderId="24" xfId="57" applyFont="1" applyFill="1" applyBorder="1" applyAlignment="1">
      <alignment horizontal="center" vertical="center"/>
    </xf>
    <xf numFmtId="0" fontId="8" fillId="34" borderId="28" xfId="57" applyFont="1" applyFill="1" applyBorder="1" applyAlignment="1">
      <alignment horizontal="center" vertical="center"/>
    </xf>
    <xf numFmtId="0" fontId="8" fillId="34" borderId="41" xfId="57" applyFont="1" applyFill="1" applyBorder="1" applyAlignment="1">
      <alignment horizontal="center" vertical="center"/>
    </xf>
  </cellXfs>
  <cellStyles count="83">
    <cellStyle name="20% - Accent1" xfId="1" builtinId="30"/>
    <cellStyle name="20% - Accent1 2" xfId="2" xr:uid="{00000000-0005-0000-0000-000001000000}"/>
    <cellStyle name="20% - Accent2" xfId="3" builtinId="34"/>
    <cellStyle name="20% - Accent2 2" xfId="4" xr:uid="{00000000-0005-0000-0000-000003000000}"/>
    <cellStyle name="20% - Accent3" xfId="5" builtinId="38"/>
    <cellStyle name="20% - Accent3 2" xfId="6" xr:uid="{00000000-0005-0000-0000-000005000000}"/>
    <cellStyle name="20% - Accent4" xfId="7" builtinId="42"/>
    <cellStyle name="20% - Accent4 2" xfId="8" xr:uid="{00000000-0005-0000-0000-000007000000}"/>
    <cellStyle name="20% - Accent5" xfId="9" builtinId="46"/>
    <cellStyle name="20% - Accent6" xfId="10" builtinId="50"/>
    <cellStyle name="20% - Accent6 2" xfId="11" xr:uid="{00000000-0005-0000-0000-00000A000000}"/>
    <cellStyle name="40% - Accent1" xfId="12" builtinId="31"/>
    <cellStyle name="40% - Accent1 2" xfId="13" xr:uid="{00000000-0005-0000-0000-00000C000000}"/>
    <cellStyle name="40% - Accent2" xfId="14" builtinId="35"/>
    <cellStyle name="40% - Accent3" xfId="15" builtinId="39"/>
    <cellStyle name="40% - Accent3 2" xfId="16" xr:uid="{00000000-0005-0000-0000-00000F000000}"/>
    <cellStyle name="40% - Accent4" xfId="17" builtinId="43"/>
    <cellStyle name="40% - Accent4 2" xfId="18" xr:uid="{00000000-0005-0000-0000-000011000000}"/>
    <cellStyle name="40% - Accent5" xfId="19" builtinId="47"/>
    <cellStyle name="40% - Accent5 2" xfId="20" xr:uid="{00000000-0005-0000-0000-000013000000}"/>
    <cellStyle name="40% - Accent6" xfId="21" builtinId="51"/>
    <cellStyle name="40% - Accent6 2" xfId="22" xr:uid="{00000000-0005-0000-0000-000015000000}"/>
    <cellStyle name="Accent1" xfId="23" builtinId="29"/>
    <cellStyle name="Accent1 2" xfId="24" xr:uid="{00000000-0005-0000-0000-000017000000}"/>
    <cellStyle name="Accent2" xfId="25" builtinId="33"/>
    <cellStyle name="Accent2 2" xfId="26" xr:uid="{00000000-0005-0000-0000-000019000000}"/>
    <cellStyle name="Accent3" xfId="27" builtinId="37"/>
    <cellStyle name="Accent3 2" xfId="28" xr:uid="{00000000-0005-0000-0000-00001B000000}"/>
    <cellStyle name="Accent4" xfId="29" builtinId="41"/>
    <cellStyle name="Accent4 2" xfId="30" xr:uid="{00000000-0005-0000-0000-00001D000000}"/>
    <cellStyle name="Accent5" xfId="31" builtinId="45"/>
    <cellStyle name="Accent6" xfId="32" builtinId="49"/>
    <cellStyle name="Accent6 2" xfId="33" xr:uid="{00000000-0005-0000-0000-000020000000}"/>
    <cellStyle name="Comma0" xfId="34" xr:uid="{00000000-0005-0000-0000-000021000000}"/>
    <cellStyle name="Comma0 2" xfId="35" xr:uid="{00000000-0005-0000-0000-000022000000}"/>
    <cellStyle name="Comma0 3" xfId="36" xr:uid="{00000000-0005-0000-0000-000023000000}"/>
    <cellStyle name="Comma0 4" xfId="37" xr:uid="{00000000-0005-0000-0000-000024000000}"/>
    <cellStyle name="Comma0 5" xfId="38" xr:uid="{00000000-0005-0000-0000-000025000000}"/>
    <cellStyle name="Currency0" xfId="39" xr:uid="{00000000-0005-0000-0000-000026000000}"/>
    <cellStyle name="Currency0 2" xfId="40" xr:uid="{00000000-0005-0000-0000-000027000000}"/>
    <cellStyle name="Currency0 3" xfId="41" xr:uid="{00000000-0005-0000-0000-000028000000}"/>
    <cellStyle name="Currency0 4" xfId="42" xr:uid="{00000000-0005-0000-0000-000029000000}"/>
    <cellStyle name="Currency0 5" xfId="43" xr:uid="{00000000-0005-0000-0000-00002A000000}"/>
    <cellStyle name="Date" xfId="44" xr:uid="{00000000-0005-0000-0000-00002B000000}"/>
    <cellStyle name="Date 2" xfId="45" xr:uid="{00000000-0005-0000-0000-00002C000000}"/>
    <cellStyle name="Date 3" xfId="46" xr:uid="{00000000-0005-0000-0000-00002D000000}"/>
    <cellStyle name="Date 4" xfId="47" xr:uid="{00000000-0005-0000-0000-00002E000000}"/>
    <cellStyle name="Date 5" xfId="48" xr:uid="{00000000-0005-0000-0000-00002F000000}"/>
    <cellStyle name="Fixed" xfId="49" xr:uid="{00000000-0005-0000-0000-000030000000}"/>
    <cellStyle name="Fixed 2" xfId="50" xr:uid="{00000000-0005-0000-0000-000031000000}"/>
    <cellStyle name="Fixed 3" xfId="51" xr:uid="{00000000-0005-0000-0000-000032000000}"/>
    <cellStyle name="Fixed 4" xfId="52" xr:uid="{00000000-0005-0000-0000-000033000000}"/>
    <cellStyle name="Fixed 5" xfId="53" xr:uid="{00000000-0005-0000-0000-000034000000}"/>
    <cellStyle name="Hyperlink 2" xfId="54" xr:uid="{00000000-0005-0000-0000-000035000000}"/>
    <cellStyle name="Hyperlink 2 2" xfId="55" xr:uid="{00000000-0005-0000-0000-000036000000}"/>
    <cellStyle name="Hyperlink 2 3" xfId="56" xr:uid="{00000000-0005-0000-0000-000037000000}"/>
    <cellStyle name="Normal" xfId="0" builtinId="0"/>
    <cellStyle name="Normal 2" xfId="57" xr:uid="{00000000-0005-0000-0000-000039000000}"/>
    <cellStyle name="Normal 2 2" xfId="58" xr:uid="{00000000-0005-0000-0000-00003A000000}"/>
    <cellStyle name="Normal 2 2 2" xfId="59" xr:uid="{00000000-0005-0000-0000-00003B000000}"/>
    <cellStyle name="Normal 2 2 3" xfId="60" xr:uid="{00000000-0005-0000-0000-00003C000000}"/>
    <cellStyle name="Normal 2 2 4" xfId="61" xr:uid="{00000000-0005-0000-0000-00003D000000}"/>
    <cellStyle name="Normal 2 3" xfId="62" xr:uid="{00000000-0005-0000-0000-00003E000000}"/>
    <cellStyle name="Normal 2 4" xfId="63" xr:uid="{00000000-0005-0000-0000-00003F000000}"/>
    <cellStyle name="Normal 3" xfId="64" xr:uid="{00000000-0005-0000-0000-000040000000}"/>
    <cellStyle name="Normal 3 2" xfId="65" xr:uid="{00000000-0005-0000-0000-000041000000}"/>
    <cellStyle name="Normal 4" xfId="66" xr:uid="{00000000-0005-0000-0000-000042000000}"/>
    <cellStyle name="Normal 5" xfId="67" xr:uid="{00000000-0005-0000-0000-000043000000}"/>
    <cellStyle name="Normal 6" xfId="68" xr:uid="{00000000-0005-0000-0000-000044000000}"/>
    <cellStyle name="Normal 7" xfId="69" xr:uid="{00000000-0005-0000-0000-000045000000}"/>
    <cellStyle name="Note 2" xfId="70" xr:uid="{00000000-0005-0000-0000-000046000000}"/>
    <cellStyle name="Note 2 2" xfId="71" xr:uid="{00000000-0005-0000-0000-000047000000}"/>
    <cellStyle name="Note 2 3" xfId="72" xr:uid="{00000000-0005-0000-0000-000048000000}"/>
    <cellStyle name="Percent" xfId="73" builtinId="5"/>
    <cellStyle name="Percent 2" xfId="74" xr:uid="{00000000-0005-0000-0000-00004A000000}"/>
    <cellStyle name="Percent 2 2" xfId="75" xr:uid="{00000000-0005-0000-0000-00004B000000}"/>
    <cellStyle name="Percent 2 3" xfId="76" xr:uid="{00000000-0005-0000-0000-00004C000000}"/>
    <cellStyle name="Percent 2 4" xfId="77" xr:uid="{00000000-0005-0000-0000-00004D000000}"/>
    <cellStyle name="Percent 3" xfId="78" xr:uid="{00000000-0005-0000-0000-00004E000000}"/>
    <cellStyle name="Total 2" xfId="79" xr:uid="{00000000-0005-0000-0000-00004F000000}"/>
    <cellStyle name="Total 3" xfId="80" xr:uid="{00000000-0005-0000-0000-000050000000}"/>
    <cellStyle name="Total 4" xfId="81" xr:uid="{00000000-0005-0000-0000-000051000000}"/>
    <cellStyle name="Total 5" xfId="82" xr:uid="{00000000-0005-0000-0000-000052000000}"/>
  </cellStyles>
  <dxfs count="43">
    <dxf>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patternType="solid">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patternType="solid">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patternType="solid">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patternType="solid">
          <bgColor rgb="FFFFFF99"/>
        </patternFill>
      </fill>
    </dxf>
    <dxf>
      <fill>
        <patternFill>
          <bgColor theme="8" tint="0.59996337778862885"/>
        </patternFill>
      </fill>
    </dxf>
    <dxf>
      <fill>
        <patternFill>
          <bgColor theme="0" tint="-0.14996795556505021"/>
        </patternFill>
      </fill>
    </dxf>
    <dxf>
      <fill>
        <patternFill>
          <bgColor rgb="FFFF0000"/>
        </patternFill>
      </fill>
    </dxf>
    <dxf>
      <fill>
        <patternFill>
          <bgColor rgb="FFFFFF66"/>
        </patternFill>
      </fill>
    </dxf>
    <dxf>
      <fill>
        <patternFill>
          <bgColor rgb="FF92D050"/>
        </patternFill>
      </fill>
    </dxf>
    <dxf>
      <fill>
        <patternFill>
          <bgColor theme="8" tint="0.59996337778862885"/>
        </patternFill>
      </fill>
    </dxf>
    <dxf>
      <fill>
        <patternFill>
          <bgColor rgb="FFFFFF99"/>
        </patternFill>
      </fill>
    </dxf>
    <dxf>
      <fill>
        <patternFill>
          <bgColor rgb="FFFFFF99"/>
        </patternFill>
      </fill>
    </dxf>
    <dxf>
      <fill>
        <patternFill>
          <bgColor theme="8" tint="0.59996337778862885"/>
        </patternFill>
      </fill>
    </dxf>
    <dxf>
      <fill>
        <patternFill patternType="solid">
          <bgColor rgb="FFFFFF99"/>
        </patternFill>
      </fill>
    </dxf>
    <dxf>
      <fill>
        <patternFill>
          <bgColor theme="8" tint="0.59996337778862885"/>
        </patternFill>
      </fill>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strike val="0"/>
        <outline val="0"/>
        <shadow val="0"/>
        <u val="none"/>
        <vertAlign val="baseline"/>
        <sz val="12"/>
        <color auto="1"/>
        <name val="Trebuchet MS"/>
        <scheme val="none"/>
      </font>
      <numFmt numFmtId="0" formatCode="General"/>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b val="0"/>
        <i val="0"/>
        <strike val="0"/>
        <outline val="0"/>
        <shadow val="0"/>
        <u val="none"/>
        <vertAlign val="baseline"/>
        <sz val="12"/>
        <color auto="1"/>
        <name val="Trebuchet MS"/>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strike val="0"/>
        <outline val="0"/>
        <shadow val="0"/>
        <u val="none"/>
        <vertAlign val="baseline"/>
        <sz val="12"/>
        <color auto="1"/>
        <name val="Trebuchet MS"/>
        <scheme val="none"/>
      </font>
      <numFmt numFmtId="0" formatCode="General"/>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b val="0"/>
        <i val="0"/>
        <strike val="0"/>
        <outline val="0"/>
        <shadow val="0"/>
        <u val="none"/>
        <vertAlign val="baseline"/>
        <sz val="12"/>
        <color auto="1"/>
        <name val="Trebuchet MS"/>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strike val="0"/>
        <outline val="0"/>
        <shadow val="0"/>
        <u val="none"/>
        <vertAlign val="baseline"/>
        <sz val="12"/>
        <color auto="1"/>
        <name val="Trebuchet MS"/>
        <scheme val="none"/>
      </font>
      <numFmt numFmtId="19" formatCode="m/d/yyyy"/>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justifyLastLine="0" shrinkToFit="0" readingOrder="0"/>
    </dxf>
    <dxf>
      <font>
        <b val="0"/>
        <i val="0"/>
        <strike val="0"/>
        <outline val="0"/>
        <shadow val="0"/>
        <u val="none"/>
        <vertAlign val="baseline"/>
        <sz val="12"/>
        <color auto="1"/>
        <name val="Trebuchet MS"/>
        <scheme val="none"/>
      </font>
      <fill>
        <patternFill patternType="none">
          <fgColor indexed="64"/>
          <bgColor indexed="65"/>
        </patternFill>
      </fill>
      <alignment horizontal="general" vertical="top"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hartsheet" Target="chartsheets/sheet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hartsheet" Target="chartsheets/sheet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5.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chartsheet" Target="chartsheets/sheet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Entry'!$L$2</c:f>
          <c:strCache>
            <c:ptCount val="1"/>
            <c:pt idx="0">
              <c:v>#DIV/0!</c:v>
            </c:pt>
          </c:strCache>
        </c:strRef>
      </c:tx>
      <c:layout>
        <c:manualLayout>
          <c:xMode val="edge"/>
          <c:yMode val="edge"/>
          <c:x val="0.25542622412321897"/>
          <c:y val="1.5656739496038109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8.2870659221759763E-2"/>
          <c:y val="0.1399117932912933"/>
          <c:w val="0.89562409011812338"/>
          <c:h val="0.65474057268265196"/>
        </c:manualLayout>
      </c:layout>
      <c:lineChart>
        <c:grouping val="standard"/>
        <c:varyColors val="0"/>
        <c:ser>
          <c:idx val="0"/>
          <c:order val="0"/>
          <c:tx>
            <c:strRef>
              <c:f>'LAP Data Entry'!$F$1</c:f>
              <c:strCache>
                <c:ptCount val="1"/>
                <c:pt idx="0">
                  <c:v>Check Observed Value</c:v>
                </c:pt>
              </c:strCache>
            </c:strRef>
          </c:tx>
          <c:spPr>
            <a:ln w="28575">
              <a:noFill/>
            </a:ln>
          </c:spPr>
          <c:marker>
            <c:symbol val="diamond"/>
            <c:size val="8"/>
            <c:spPr>
              <a:solidFill>
                <a:srgbClr val="FFFF00"/>
              </a:solidFill>
              <a:ln w="15875">
                <a:solidFill>
                  <a:srgbClr val="002060"/>
                </a:solidFill>
                <a:prstDash val="solid"/>
              </a:ln>
            </c:spPr>
          </c:marker>
          <c:errBars>
            <c:errDir val="y"/>
            <c:errBarType val="both"/>
            <c:errValType val="cust"/>
            <c:noEndCap val="0"/>
            <c:plus>
              <c:numRef>
                <c:f>'LAP Data Entry'!$R$2:$R$4</c:f>
                <c:numCache>
                  <c:formatCode>General</c:formatCode>
                  <c:ptCount val="3"/>
                  <c:pt idx="0">
                    <c:v>#N/A</c:v>
                  </c:pt>
                </c:numCache>
              </c:numRef>
            </c:plus>
            <c:minus>
              <c:numRef>
                <c:f>'LAP Data Entry'!$R$2:$R$4</c:f>
                <c:numCache>
                  <c:formatCode>General</c:formatCode>
                  <c:ptCount val="3"/>
                  <c:pt idx="0">
                    <c:v>#N/A</c:v>
                  </c:pt>
                </c:numCache>
              </c:numRef>
            </c:minus>
            <c:spPr>
              <a:ln w="12700">
                <a:solidFill>
                  <a:srgbClr val="000080"/>
                </a:solidFill>
                <a:prstDash val="solid"/>
              </a:ln>
            </c:spPr>
          </c:errBars>
          <c:cat>
            <c:numRef>
              <c:f>'LAP Data Entry'!$C$2:$C$4</c:f>
              <c:numCache>
                <c:formatCode>m/d/yyyy</c:formatCode>
                <c:ptCount val="3"/>
              </c:numCache>
            </c:numRef>
          </c:cat>
          <c:val>
            <c:numRef>
              <c:f>'LAP Data Entry'!$F$2:$F$4</c:f>
              <c:numCache>
                <c:formatCode>General</c:formatCode>
                <c:ptCount val="3"/>
              </c:numCache>
            </c:numRef>
          </c:val>
          <c:smooth val="0"/>
          <c:extLst>
            <c:ext xmlns:c16="http://schemas.microsoft.com/office/drawing/2014/chart" uri="{C3380CC4-5D6E-409C-BE32-E72D297353CC}">
              <c16:uniqueId val="{00000000-AD7D-41C9-B0EB-C525F45B0052}"/>
            </c:ext>
          </c:extLst>
        </c:ser>
        <c:ser>
          <c:idx val="1"/>
          <c:order val="1"/>
          <c:tx>
            <c:strRef>
              <c:f>'LAP Data Entry'!$Q$1</c:f>
              <c:strCache>
                <c:ptCount val="1"/>
                <c:pt idx="0">
                  <c:v>Check Mean Value</c:v>
                </c:pt>
              </c:strCache>
            </c:strRef>
          </c:tx>
          <c:spPr>
            <a:ln w="25400">
              <a:solidFill>
                <a:srgbClr val="0070C0"/>
              </a:solidFill>
              <a:prstDash val="sysDash"/>
            </a:ln>
          </c:spPr>
          <c:marker>
            <c:symbol val="none"/>
          </c:marker>
          <c:cat>
            <c:numRef>
              <c:f>'LAP Data Entry'!$C$2:$C$4</c:f>
              <c:numCache>
                <c:formatCode>m/d/yyyy</c:formatCode>
                <c:ptCount val="3"/>
              </c:numCache>
            </c:numRef>
          </c:cat>
          <c:val>
            <c:numRef>
              <c:f>'LAP Data Entry'!$Q$2:$Q$4</c:f>
              <c:numCache>
                <c:formatCode>General</c:formatCode>
                <c:ptCount val="3"/>
                <c:pt idx="0">
                  <c:v>0</c:v>
                </c:pt>
              </c:numCache>
            </c:numRef>
          </c:val>
          <c:smooth val="0"/>
          <c:extLst>
            <c:ext xmlns:c16="http://schemas.microsoft.com/office/drawing/2014/chart" uri="{C3380CC4-5D6E-409C-BE32-E72D297353CC}">
              <c16:uniqueId val="{00000001-AD7D-41C9-B0EB-C525F45B0052}"/>
            </c:ext>
          </c:extLst>
        </c:ser>
        <c:ser>
          <c:idx val="6"/>
          <c:order val="2"/>
          <c:tx>
            <c:strRef>
              <c:f>'LAP Data Entry'!$AA$1</c:f>
              <c:strCache>
                <c:ptCount val="1"/>
                <c:pt idx="0">
                  <c:v>Calibrated Value</c:v>
                </c:pt>
              </c:strCache>
            </c:strRef>
          </c:tx>
          <c:spPr>
            <a:ln w="25400">
              <a:solidFill>
                <a:schemeClr val="accent4">
                  <a:lumMod val="50000"/>
                </a:schemeClr>
              </a:solidFill>
              <a:prstDash val="dashDot"/>
            </a:ln>
          </c:spPr>
          <c:marker>
            <c:symbol val="none"/>
          </c:marker>
          <c:cat>
            <c:numRef>
              <c:f>'LAP Data Entry'!$C$2:$C$4</c:f>
              <c:numCache>
                <c:formatCode>m/d/yyyy</c:formatCode>
                <c:ptCount val="3"/>
              </c:numCache>
            </c:numRef>
          </c:cat>
          <c:val>
            <c:numRef>
              <c:f>'LAP Data Entry'!$AA$2:$AA$4</c:f>
              <c:numCache>
                <c:formatCode>General</c:formatCode>
                <c:ptCount val="3"/>
                <c:pt idx="0">
                  <c:v>0</c:v>
                </c:pt>
              </c:numCache>
            </c:numRef>
          </c:val>
          <c:smooth val="0"/>
          <c:extLst>
            <c:ext xmlns:c16="http://schemas.microsoft.com/office/drawing/2014/chart" uri="{C3380CC4-5D6E-409C-BE32-E72D297353CC}">
              <c16:uniqueId val="{00000002-AD7D-41C9-B0EB-C525F45B0052}"/>
            </c:ext>
          </c:extLst>
        </c:ser>
        <c:ser>
          <c:idx val="4"/>
          <c:order val="3"/>
          <c:tx>
            <c:strRef>
              <c:f>'Data Entry'!$M$9</c:f>
              <c:strCache>
                <c:ptCount val="1"/>
                <c:pt idx="0">
                  <c:v>Control Limits (Chk Mean ± 3 s)</c:v>
                </c:pt>
              </c:strCache>
            </c:strRef>
          </c:tx>
          <c:spPr>
            <a:ln w="25400">
              <a:solidFill>
                <a:srgbClr val="FF0000"/>
              </a:solidFill>
              <a:prstDash val="solid"/>
            </a:ln>
          </c:spPr>
          <c:marker>
            <c:symbol val="none"/>
          </c:marker>
          <c:cat>
            <c:numRef>
              <c:f>'LAP Data Entry'!$C$2:$C$4</c:f>
              <c:numCache>
                <c:formatCode>m/d/yyyy</c:formatCode>
                <c:ptCount val="3"/>
              </c:numCache>
            </c:numRef>
          </c:cat>
          <c:val>
            <c:numRef>
              <c:f>'LAP Data Entry'!$Y$2:$Y$4</c:f>
              <c:numCache>
                <c:formatCode>General</c:formatCode>
                <c:ptCount val="3"/>
                <c:pt idx="0">
                  <c:v>0</c:v>
                </c:pt>
              </c:numCache>
            </c:numRef>
          </c:val>
          <c:smooth val="0"/>
          <c:extLst>
            <c:ext xmlns:c16="http://schemas.microsoft.com/office/drawing/2014/chart" uri="{C3380CC4-5D6E-409C-BE32-E72D297353CC}">
              <c16:uniqueId val="{00000003-AD7D-41C9-B0EB-C525F45B0052}"/>
            </c:ext>
          </c:extLst>
        </c:ser>
        <c:ser>
          <c:idx val="2"/>
          <c:order val="4"/>
          <c:tx>
            <c:strRef>
              <c:f>'Data Entry'!$N$9</c:f>
              <c:strCache>
                <c:ptCount val="1"/>
                <c:pt idx="0">
                  <c:v>Warning Limits (Chk Mean ± 2 s)</c:v>
                </c:pt>
              </c:strCache>
            </c:strRef>
          </c:tx>
          <c:spPr>
            <a:ln w="25400">
              <a:solidFill>
                <a:srgbClr val="00B050"/>
              </a:solidFill>
              <a:prstDash val="solid"/>
            </a:ln>
          </c:spPr>
          <c:marker>
            <c:symbol val="none"/>
          </c:marker>
          <c:cat>
            <c:numRef>
              <c:f>'LAP Data Entry'!$C$2:$C$4</c:f>
              <c:numCache>
                <c:formatCode>m/d/yyyy</c:formatCode>
                <c:ptCount val="3"/>
              </c:numCache>
            </c:numRef>
          </c:cat>
          <c:val>
            <c:numRef>
              <c:f>'LAP Data Entry'!$W$2:$W$4</c:f>
              <c:numCache>
                <c:formatCode>General</c:formatCode>
                <c:ptCount val="3"/>
                <c:pt idx="0">
                  <c:v>0</c:v>
                </c:pt>
              </c:numCache>
            </c:numRef>
          </c:val>
          <c:smooth val="0"/>
          <c:extLst>
            <c:ext xmlns:c16="http://schemas.microsoft.com/office/drawing/2014/chart" uri="{C3380CC4-5D6E-409C-BE32-E72D297353CC}">
              <c16:uniqueId val="{00000004-AD7D-41C9-B0EB-C525F45B0052}"/>
            </c:ext>
          </c:extLst>
        </c:ser>
        <c:ser>
          <c:idx val="7"/>
          <c:order val="5"/>
          <c:tx>
            <c:strRef>
              <c:f>'Data Entry'!$L$10</c:f>
              <c:strCache>
                <c:ptCount val="1"/>
                <c:pt idx="0">
                  <c:v>Check Mean ± 0 % MPE</c:v>
                </c:pt>
              </c:strCache>
            </c:strRef>
          </c:tx>
          <c:spPr>
            <a:ln w="25400">
              <a:solidFill>
                <a:srgbClr val="996633"/>
              </a:solidFill>
              <a:prstDash val="lgDash"/>
            </a:ln>
          </c:spPr>
          <c:marker>
            <c:symbol val="none"/>
          </c:marker>
          <c:cat>
            <c:numRef>
              <c:f>'LAP Data Entry'!$C$2:$C$4</c:f>
              <c:numCache>
                <c:formatCode>m/d/yyyy</c:formatCode>
                <c:ptCount val="3"/>
              </c:numCache>
            </c:numRef>
          </c:cat>
          <c:val>
            <c:numRef>
              <c:f>'LAP Data Entry'!$AC$2:$AC$4</c:f>
              <c:numCache>
                <c:formatCode>General</c:formatCode>
                <c:ptCount val="3"/>
                <c:pt idx="0">
                  <c:v>0</c:v>
                </c:pt>
              </c:numCache>
            </c:numRef>
          </c:val>
          <c:smooth val="0"/>
          <c:extLst>
            <c:ext xmlns:c16="http://schemas.microsoft.com/office/drawing/2014/chart" uri="{C3380CC4-5D6E-409C-BE32-E72D297353CC}">
              <c16:uniqueId val="{00000005-AD7D-41C9-B0EB-C525F45B0052}"/>
            </c:ext>
          </c:extLst>
        </c:ser>
        <c:ser>
          <c:idx val="3"/>
          <c:order val="6"/>
          <c:tx>
            <c:strRef>
              <c:f>'Data Entry'!$M$10</c:f>
              <c:strCache>
                <c:ptCount val="1"/>
              </c:strCache>
            </c:strRef>
          </c:tx>
          <c:spPr>
            <a:ln w="25400">
              <a:solidFill>
                <a:srgbClr val="00B050"/>
              </a:solidFill>
              <a:prstDash val="solid"/>
            </a:ln>
          </c:spPr>
          <c:marker>
            <c:symbol val="none"/>
          </c:marker>
          <c:cat>
            <c:numRef>
              <c:f>'LAP Data Entry'!$C$2:$C$4</c:f>
              <c:numCache>
                <c:formatCode>m/d/yyyy</c:formatCode>
                <c:ptCount val="3"/>
              </c:numCache>
            </c:numRef>
          </c:cat>
          <c:val>
            <c:numRef>
              <c:f>'LAP Data Entry'!$X$2:$X$4</c:f>
              <c:numCache>
                <c:formatCode>General</c:formatCode>
                <c:ptCount val="3"/>
                <c:pt idx="0">
                  <c:v>0</c:v>
                </c:pt>
              </c:numCache>
            </c:numRef>
          </c:val>
          <c:smooth val="0"/>
          <c:extLst>
            <c:ext xmlns:c16="http://schemas.microsoft.com/office/drawing/2014/chart" uri="{C3380CC4-5D6E-409C-BE32-E72D297353CC}">
              <c16:uniqueId val="{00000006-AD7D-41C9-B0EB-C525F45B0052}"/>
            </c:ext>
          </c:extLst>
        </c:ser>
        <c:ser>
          <c:idx val="5"/>
          <c:order val="7"/>
          <c:tx>
            <c:strRef>
              <c:f>'Data Entry'!$M$10</c:f>
              <c:strCache>
                <c:ptCount val="1"/>
              </c:strCache>
            </c:strRef>
          </c:tx>
          <c:spPr>
            <a:ln w="25400">
              <a:solidFill>
                <a:srgbClr val="FF0000"/>
              </a:solidFill>
              <a:prstDash val="solid"/>
            </a:ln>
          </c:spPr>
          <c:marker>
            <c:symbol val="none"/>
          </c:marker>
          <c:cat>
            <c:numRef>
              <c:f>'LAP Data Entry'!$C$2:$C$4</c:f>
              <c:numCache>
                <c:formatCode>m/d/yyyy</c:formatCode>
                <c:ptCount val="3"/>
              </c:numCache>
            </c:numRef>
          </c:cat>
          <c:val>
            <c:numRef>
              <c:f>'LAP Data Entry'!$Z$2:$Z$4</c:f>
              <c:numCache>
                <c:formatCode>General</c:formatCode>
                <c:ptCount val="3"/>
                <c:pt idx="0">
                  <c:v>0</c:v>
                </c:pt>
              </c:numCache>
            </c:numRef>
          </c:val>
          <c:smooth val="0"/>
          <c:extLst>
            <c:ext xmlns:c16="http://schemas.microsoft.com/office/drawing/2014/chart" uri="{C3380CC4-5D6E-409C-BE32-E72D297353CC}">
              <c16:uniqueId val="{00000007-AD7D-41C9-B0EB-C525F45B0052}"/>
            </c:ext>
          </c:extLst>
        </c:ser>
        <c:ser>
          <c:idx val="8"/>
          <c:order val="8"/>
          <c:tx>
            <c:strRef>
              <c:f>'Data Entry'!$M$10</c:f>
              <c:strCache>
                <c:ptCount val="1"/>
              </c:strCache>
            </c:strRef>
          </c:tx>
          <c:spPr>
            <a:ln w="25400">
              <a:solidFill>
                <a:srgbClr val="996633"/>
              </a:solidFill>
              <a:prstDash val="lgDash"/>
            </a:ln>
          </c:spPr>
          <c:marker>
            <c:symbol val="none"/>
          </c:marker>
          <c:cat>
            <c:numRef>
              <c:f>'LAP Data Entry'!$C$2:$C$4</c:f>
              <c:numCache>
                <c:formatCode>m/d/yyyy</c:formatCode>
                <c:ptCount val="3"/>
              </c:numCache>
            </c:numRef>
          </c:cat>
          <c:val>
            <c:numRef>
              <c:f>'LAP Data Entry'!$AD$2:$AD$4</c:f>
              <c:numCache>
                <c:formatCode>General</c:formatCode>
                <c:ptCount val="3"/>
                <c:pt idx="0">
                  <c:v>0</c:v>
                </c:pt>
              </c:numCache>
            </c:numRef>
          </c:val>
          <c:smooth val="0"/>
          <c:extLst>
            <c:ext xmlns:c16="http://schemas.microsoft.com/office/drawing/2014/chart" uri="{C3380CC4-5D6E-409C-BE32-E72D297353CC}">
              <c16:uniqueId val="{00000008-AD7D-41C9-B0EB-C525F45B0052}"/>
            </c:ext>
          </c:extLst>
        </c:ser>
        <c:dLbls>
          <c:showLegendKey val="0"/>
          <c:showVal val="0"/>
          <c:showCatName val="0"/>
          <c:showSerName val="0"/>
          <c:showPercent val="0"/>
          <c:showBubbleSize val="0"/>
        </c:dLbls>
        <c:marker val="1"/>
        <c:smooth val="0"/>
        <c:axId val="382040768"/>
        <c:axId val="382040376"/>
      </c:lineChart>
      <c:catAx>
        <c:axId val="382040768"/>
        <c:scaling>
          <c:orientation val="minMax"/>
        </c:scaling>
        <c:delete val="0"/>
        <c:axPos val="b"/>
        <c:majorGridlines>
          <c:spPr>
            <a:ln>
              <a:solidFill>
                <a:schemeClr val="bg1"/>
              </a:solidFill>
            </a:ln>
          </c:spPr>
        </c:majorGridlines>
        <c:numFmt formatCode="m/d/yy;@" sourceLinked="0"/>
        <c:majorTickMark val="out"/>
        <c:minorTickMark val="none"/>
        <c:tickLblPos val="low"/>
        <c:spPr>
          <a:ln w="3175">
            <a:solidFill>
              <a:srgbClr val="000000"/>
            </a:solidFill>
            <a:prstDash val="solid"/>
          </a:ln>
        </c:spPr>
        <c:txPr>
          <a:bodyPr rot="-5400000" vert="horz"/>
          <a:lstStyle/>
          <a:p>
            <a:pPr>
              <a:defRPr sz="900" b="0" i="0" u="none" strike="noStrike" baseline="0">
                <a:solidFill>
                  <a:srgbClr val="000000"/>
                </a:solidFill>
                <a:latin typeface="Trebuchet MS"/>
                <a:ea typeface="Trebuchet MS"/>
                <a:cs typeface="Trebuchet MS"/>
              </a:defRPr>
            </a:pPr>
            <a:endParaRPr lang="en-US"/>
          </a:p>
        </c:txPr>
        <c:crossAx val="382040376"/>
        <c:crosses val="autoZero"/>
        <c:auto val="0"/>
        <c:lblAlgn val="ctr"/>
        <c:lblOffset val="100"/>
        <c:noMultiLvlLbl val="0"/>
      </c:catAx>
      <c:valAx>
        <c:axId val="382040376"/>
        <c:scaling>
          <c:orientation val="minMax"/>
        </c:scaling>
        <c:delete val="0"/>
        <c:axPos val="l"/>
        <c:majorGridlines>
          <c:spPr>
            <a:ln w="3175">
              <a:solidFill>
                <a:schemeClr val="tx1">
                  <a:alpha val="50000"/>
                </a:schemeClr>
              </a:solidFill>
              <a:prstDash val="solid"/>
            </a:ln>
          </c:spPr>
        </c:majorGridlines>
        <c:title>
          <c:tx>
            <c:strRef>
              <c:f>'Data Entry'!$L$9</c:f>
              <c:strCache>
                <c:ptCount val="1"/>
                <c:pt idx="0">
                  <c:v>milligrams</c:v>
                </c:pt>
              </c:strCache>
            </c:strRef>
          </c:tx>
          <c:layout>
            <c:manualLayout>
              <c:xMode val="edge"/>
              <c:yMode val="edge"/>
              <c:x val="1.390970672849789E-2"/>
              <c:y val="0.45677974212778755"/>
            </c:manualLayout>
          </c:layout>
          <c:overlay val="0"/>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82040768"/>
        <c:crosses val="autoZero"/>
        <c:crossBetween val="between"/>
      </c:valAx>
      <c:spPr>
        <a:solidFill>
          <a:srgbClr val="FFFFFF"/>
        </a:solidFill>
        <a:ln w="12700">
          <a:solidFill>
            <a:srgbClr val="808080"/>
          </a:solidFill>
          <a:prstDash val="solid"/>
        </a:ln>
      </c:spPr>
    </c:plotArea>
    <c:legend>
      <c:legendPos val="r"/>
      <c:legendEntry>
        <c:idx val="6"/>
        <c:delete val="1"/>
      </c:legendEntry>
      <c:legendEntry>
        <c:idx val="7"/>
        <c:delete val="1"/>
      </c:legendEntry>
      <c:legendEntry>
        <c:idx val="8"/>
        <c:delete val="1"/>
      </c:legendEntry>
      <c:layout>
        <c:manualLayout>
          <c:xMode val="edge"/>
          <c:yMode val="edge"/>
          <c:x val="0.14443329989969911"/>
          <c:y val="0.90806223479490811"/>
          <c:w val="0.7372116349047142"/>
          <c:h val="6.7892503536067891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Entry'!$L$3</c:f>
          <c:strCache>
            <c:ptCount val="1"/>
            <c:pt idx="0">
              <c:v>#N/A</c:v>
            </c:pt>
          </c:strCache>
        </c:strRef>
      </c:tx>
      <c:layout>
        <c:manualLayout>
          <c:xMode val="edge"/>
          <c:yMode val="edge"/>
          <c:x val="0.27391814695489897"/>
          <c:y val="1.3636340443065062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9.0897457641321996E-2"/>
          <c:y val="0.13686868686868686"/>
          <c:w val="0.89198198484035718"/>
          <c:h val="0.66060606060606064"/>
        </c:manualLayout>
      </c:layout>
      <c:lineChart>
        <c:grouping val="standard"/>
        <c:varyColors val="0"/>
        <c:ser>
          <c:idx val="0"/>
          <c:order val="0"/>
          <c:tx>
            <c:strRef>
              <c:f>'LAP Data Entry'!$H$1</c:f>
              <c:strCache>
                <c:ptCount val="1"/>
                <c:pt idx="0">
                  <c:v>Observed sw</c:v>
                </c:pt>
              </c:strCache>
            </c:strRef>
          </c:tx>
          <c:spPr>
            <a:ln w="28575">
              <a:noFill/>
            </a:ln>
          </c:spPr>
          <c:marker>
            <c:symbol val="diamond"/>
            <c:size val="8"/>
            <c:spPr>
              <a:solidFill>
                <a:srgbClr val="FFFF00"/>
              </a:solidFill>
              <a:ln w="15875">
                <a:solidFill>
                  <a:srgbClr val="002060"/>
                </a:solidFill>
                <a:prstDash val="solid"/>
              </a:ln>
            </c:spPr>
          </c:marker>
          <c:cat>
            <c:numRef>
              <c:f>'LAP Data Entry'!$C$2:$C$4</c:f>
              <c:numCache>
                <c:formatCode>m/d/yyyy</c:formatCode>
                <c:ptCount val="3"/>
              </c:numCache>
            </c:numRef>
          </c:cat>
          <c:val>
            <c:numRef>
              <c:f>'LAP Data Entry'!$H$2:$H$4</c:f>
              <c:numCache>
                <c:formatCode>General</c:formatCode>
                <c:ptCount val="3"/>
              </c:numCache>
            </c:numRef>
          </c:val>
          <c:smooth val="0"/>
          <c:extLst>
            <c:ext xmlns:c16="http://schemas.microsoft.com/office/drawing/2014/chart" uri="{C3380CC4-5D6E-409C-BE32-E72D297353CC}">
              <c16:uniqueId val="{00000000-C647-4CB6-ADE5-FA7139182A87}"/>
            </c:ext>
          </c:extLst>
        </c:ser>
        <c:ser>
          <c:idx val="1"/>
          <c:order val="1"/>
          <c:tx>
            <c:strRef>
              <c:f>'LAP Data Entry'!$S$1</c:f>
              <c:strCache>
                <c:ptCount val="1"/>
                <c:pt idx="0">
                  <c:v>Accepted sw</c:v>
                </c:pt>
              </c:strCache>
            </c:strRef>
          </c:tx>
          <c:spPr>
            <a:ln w="25400">
              <a:solidFill>
                <a:srgbClr val="C00000"/>
              </a:solidFill>
              <a:prstDash val="solid"/>
            </a:ln>
          </c:spPr>
          <c:marker>
            <c:symbol val="none"/>
          </c:marker>
          <c:cat>
            <c:numRef>
              <c:f>'LAP Data Entry'!$C$2:$C$4</c:f>
              <c:numCache>
                <c:formatCode>m/d/yyyy</c:formatCode>
                <c:ptCount val="3"/>
              </c:numCache>
            </c:numRef>
          </c:cat>
          <c:val>
            <c:numRef>
              <c:f>'LAP Data Entry'!$S$2:$S$4</c:f>
              <c:numCache>
                <c:formatCode>General</c:formatCode>
                <c:ptCount val="3"/>
                <c:pt idx="0">
                  <c:v>#N/A</c:v>
                </c:pt>
              </c:numCache>
            </c:numRef>
          </c:val>
          <c:smooth val="0"/>
          <c:extLst>
            <c:ext xmlns:c16="http://schemas.microsoft.com/office/drawing/2014/chart" uri="{C3380CC4-5D6E-409C-BE32-E72D297353CC}">
              <c16:uniqueId val="{00000001-C647-4CB6-ADE5-FA7139182A87}"/>
            </c:ext>
          </c:extLst>
        </c:ser>
        <c:ser>
          <c:idx val="2"/>
          <c:order val="2"/>
          <c:tx>
            <c:strRef>
              <c:f>'LAP Data Entry'!$V$1</c:f>
              <c:strCache>
                <c:ptCount val="1"/>
                <c:pt idx="0">
                  <c:v>Pooled sw</c:v>
                </c:pt>
              </c:strCache>
            </c:strRef>
          </c:tx>
          <c:spPr>
            <a:ln w="25400">
              <a:solidFill>
                <a:srgbClr val="0070C0"/>
              </a:solidFill>
              <a:prstDash val="solid"/>
            </a:ln>
          </c:spPr>
          <c:marker>
            <c:symbol val="none"/>
          </c:marker>
          <c:cat>
            <c:numRef>
              <c:f>'LAP Data Entry'!$C$2:$C$4</c:f>
              <c:numCache>
                <c:formatCode>m/d/yyyy</c:formatCode>
                <c:ptCount val="3"/>
              </c:numCache>
            </c:numRef>
          </c:cat>
          <c:val>
            <c:numRef>
              <c:f>'LAP Data Entry'!$V$2:$V$4</c:f>
              <c:numCache>
                <c:formatCode>General</c:formatCode>
                <c:ptCount val="3"/>
                <c:pt idx="0">
                  <c:v>0</c:v>
                </c:pt>
              </c:numCache>
            </c:numRef>
          </c:val>
          <c:smooth val="0"/>
          <c:extLst>
            <c:ext xmlns:c16="http://schemas.microsoft.com/office/drawing/2014/chart" uri="{C3380CC4-5D6E-409C-BE32-E72D297353CC}">
              <c16:uniqueId val="{00000002-C647-4CB6-ADE5-FA7139182A87}"/>
            </c:ext>
          </c:extLst>
        </c:ser>
        <c:dLbls>
          <c:showLegendKey val="0"/>
          <c:showVal val="0"/>
          <c:showCatName val="0"/>
          <c:showSerName val="0"/>
          <c:showPercent val="0"/>
          <c:showBubbleSize val="0"/>
        </c:dLbls>
        <c:marker val="1"/>
        <c:smooth val="0"/>
        <c:axId val="382214016"/>
        <c:axId val="382214408"/>
      </c:lineChart>
      <c:catAx>
        <c:axId val="382214016"/>
        <c:scaling>
          <c:orientation val="minMax"/>
        </c:scaling>
        <c:delete val="0"/>
        <c:axPos val="b"/>
        <c:numFmt formatCode="mm/dd/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Trebuchet MS"/>
                <a:ea typeface="Trebuchet MS"/>
                <a:cs typeface="Trebuchet MS"/>
              </a:defRPr>
            </a:pPr>
            <a:endParaRPr lang="en-US"/>
          </a:p>
        </c:txPr>
        <c:crossAx val="382214408"/>
        <c:crosses val="autoZero"/>
        <c:auto val="0"/>
        <c:lblAlgn val="ctr"/>
        <c:lblOffset val="100"/>
        <c:noMultiLvlLbl val="0"/>
      </c:catAx>
      <c:valAx>
        <c:axId val="382214408"/>
        <c:scaling>
          <c:orientation val="minMax"/>
        </c:scaling>
        <c:delete val="0"/>
        <c:axPos val="l"/>
        <c:majorGridlines>
          <c:spPr>
            <a:ln w="3175">
              <a:solidFill>
                <a:srgbClr val="000000">
                  <a:alpha val="50000"/>
                </a:srgbClr>
              </a:solidFill>
              <a:prstDash val="solid"/>
            </a:ln>
          </c:spPr>
        </c:majorGridlines>
        <c:title>
          <c:tx>
            <c:strRef>
              <c:f>'Data Entry'!$L$9</c:f>
              <c:strCache>
                <c:ptCount val="1"/>
                <c:pt idx="0">
                  <c:v>milligrams</c:v>
                </c:pt>
              </c:strCache>
            </c:strRef>
          </c:tx>
          <c:layout>
            <c:manualLayout>
              <c:xMode val="edge"/>
              <c:yMode val="edge"/>
              <c:x val="8.5602489240697958E-3"/>
              <c:y val="0.40909085110766269"/>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82214016"/>
        <c:crosses val="autoZero"/>
        <c:crossBetween val="between"/>
      </c:valAx>
      <c:spPr>
        <a:solidFill>
          <a:srgbClr val="FFFFFF"/>
        </a:solidFill>
        <a:ln w="12700">
          <a:solidFill>
            <a:srgbClr val="808080"/>
          </a:solidFill>
          <a:prstDash val="solid"/>
        </a:ln>
      </c:spPr>
    </c:plotArea>
    <c:legend>
      <c:legendPos val="r"/>
      <c:layout>
        <c:manualLayout>
          <c:xMode val="edge"/>
          <c:yMode val="edge"/>
          <c:x val="0.30452261306532663"/>
          <c:y val="0.9226100151745068"/>
          <c:w val="0.38693467336683418"/>
          <c:h val="6.3732928679817905E-2"/>
        </c:manualLayout>
      </c:layout>
      <c:overlay val="0"/>
      <c:spPr>
        <a:solidFill>
          <a:srgbClr val="FFFFFF"/>
        </a:solidFill>
        <a:ln w="3175">
          <a:solidFill>
            <a:srgbClr val="000000"/>
          </a:solidFill>
          <a:prstDash val="solid"/>
        </a:ln>
      </c:spPr>
      <c:txPr>
        <a:bodyPr/>
        <a:lstStyle/>
        <a:p>
          <a:pPr>
            <a:defRPr sz="830"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Entry'!$L$4</c:f>
          <c:strCache>
            <c:ptCount val="1"/>
            <c:pt idx="0">
              <c:v> ●  ● F Ratio Chart
  () Check Standard
 Balance:  ● Measurement Procedure: SOP 28</c:v>
            </c:pt>
          </c:strCache>
        </c:strRef>
      </c:tx>
      <c:layout>
        <c:manualLayout>
          <c:xMode val="edge"/>
          <c:yMode val="edge"/>
          <c:x val="0.27376990123336714"/>
          <c:y val="1.9640005751432186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7.1032186459489471E-2"/>
          <c:y val="0.12765957446808457"/>
          <c:w val="0.90566037735849259"/>
          <c:h val="0.68739770867430461"/>
        </c:manualLayout>
      </c:layout>
      <c:lineChart>
        <c:grouping val="standard"/>
        <c:varyColors val="0"/>
        <c:ser>
          <c:idx val="0"/>
          <c:order val="0"/>
          <c:tx>
            <c:strRef>
              <c:f>'LAP Data Entry'!$O$1</c:f>
              <c:strCache>
                <c:ptCount val="1"/>
                <c:pt idx="0">
                  <c:v>F Ratio </c:v>
                </c:pt>
              </c:strCache>
            </c:strRef>
          </c:tx>
          <c:spPr>
            <a:ln w="25400">
              <a:solidFill>
                <a:srgbClr val="000080"/>
              </a:solidFill>
              <a:prstDash val="solid"/>
            </a:ln>
          </c:spPr>
          <c:marker>
            <c:symbol val="none"/>
          </c:marker>
          <c:cat>
            <c:numRef>
              <c:f>'LAP Data Entry'!$C$2:$C$4</c:f>
              <c:numCache>
                <c:formatCode>m/d/yyyy</c:formatCode>
                <c:ptCount val="3"/>
              </c:numCache>
            </c:numRef>
          </c:cat>
          <c:val>
            <c:numRef>
              <c:f>'LAP Data Entry'!$O$2:$O$4</c:f>
              <c:numCache>
                <c:formatCode>General</c:formatCode>
                <c:ptCount val="3"/>
              </c:numCache>
            </c:numRef>
          </c:val>
          <c:smooth val="0"/>
          <c:extLst>
            <c:ext xmlns:c16="http://schemas.microsoft.com/office/drawing/2014/chart" uri="{C3380CC4-5D6E-409C-BE32-E72D297353CC}">
              <c16:uniqueId val="{00000000-4E6D-41FF-A53C-30F879DCED12}"/>
            </c:ext>
          </c:extLst>
        </c:ser>
        <c:dLbls>
          <c:showLegendKey val="0"/>
          <c:showVal val="0"/>
          <c:showCatName val="0"/>
          <c:showSerName val="0"/>
          <c:showPercent val="0"/>
          <c:showBubbleSize val="0"/>
        </c:dLbls>
        <c:smooth val="0"/>
        <c:axId val="491609248"/>
        <c:axId val="491608856"/>
      </c:lineChart>
      <c:catAx>
        <c:axId val="491609248"/>
        <c:scaling>
          <c:orientation val="minMax"/>
        </c:scaling>
        <c:delete val="0"/>
        <c:axPos val="b"/>
        <c:majorGridlines>
          <c:spPr>
            <a:ln w="3175">
              <a:solidFill>
                <a:schemeClr val="bg1"/>
              </a:solidFill>
              <a:prstDash val="solid"/>
            </a:ln>
          </c:spPr>
        </c:majorGridlines>
        <c:numFmt formatCode="m/d/yy;@" sourceLinked="0"/>
        <c:majorTickMark val="out"/>
        <c:minorTickMark val="none"/>
        <c:tickLblPos val="low"/>
        <c:spPr>
          <a:ln w="3175">
            <a:solidFill>
              <a:srgbClr val="000000"/>
            </a:solidFill>
            <a:prstDash val="solid"/>
          </a:ln>
        </c:spPr>
        <c:txPr>
          <a:bodyPr rot="-5400000" vert="horz"/>
          <a:lstStyle/>
          <a:p>
            <a:pPr>
              <a:defRPr sz="900" b="0" i="0" u="none" strike="noStrike" baseline="0">
                <a:solidFill>
                  <a:srgbClr val="000000"/>
                </a:solidFill>
                <a:latin typeface="Trebuchet MS"/>
                <a:ea typeface="Trebuchet MS"/>
                <a:cs typeface="Trebuchet MS"/>
              </a:defRPr>
            </a:pPr>
            <a:endParaRPr lang="en-US"/>
          </a:p>
        </c:txPr>
        <c:crossAx val="491608856"/>
        <c:crosses val="autoZero"/>
        <c:auto val="0"/>
        <c:lblAlgn val="ctr"/>
        <c:lblOffset val="100"/>
        <c:noMultiLvlLbl val="0"/>
      </c:catAx>
      <c:valAx>
        <c:axId val="491608856"/>
        <c:scaling>
          <c:orientation val="minMax"/>
        </c:scaling>
        <c:delete val="0"/>
        <c:axPos val="l"/>
        <c:majorGridlines>
          <c:spPr>
            <a:ln w="3175">
              <a:solidFill>
                <a:srgbClr val="000000">
                  <a:alpha val="50000"/>
                </a:srgbClr>
              </a:solidFill>
              <a:prstDash val="solid"/>
            </a:ln>
          </c:spPr>
        </c:majorGridlines>
        <c:title>
          <c:tx>
            <c:rich>
              <a:bodyPr/>
              <a:lstStyle/>
              <a:p>
                <a:pPr>
                  <a:defRPr sz="1050" b="0" i="0" u="none" strike="noStrike" baseline="0">
                    <a:solidFill>
                      <a:srgbClr val="000000"/>
                    </a:solidFill>
                    <a:latin typeface="Trebuchet MS"/>
                    <a:ea typeface="Trebuchet MS"/>
                    <a:cs typeface="Trebuchet MS"/>
                  </a:defRPr>
                </a:pPr>
                <a:r>
                  <a:rPr lang="en-US"/>
                  <a:t>Value</a:t>
                </a:r>
              </a:p>
            </c:rich>
          </c:tx>
          <c:layout>
            <c:manualLayout>
              <c:xMode val="edge"/>
              <c:yMode val="edge"/>
              <c:x val="1.2208651611370577E-2"/>
              <c:y val="0.438625132520290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491609248"/>
        <c:crosses val="autoZero"/>
        <c:crossBetween val="between"/>
      </c:valAx>
      <c:spPr>
        <a:solidFill>
          <a:srgbClr val="FFFFFF"/>
        </a:solidFill>
        <a:ln w="12700">
          <a:solidFill>
            <a:srgbClr val="808080"/>
          </a:solidFill>
          <a:prstDash val="solid"/>
        </a:ln>
      </c:spPr>
    </c:plotArea>
    <c:legend>
      <c:legendPos val="r"/>
      <c:layout>
        <c:manualLayout>
          <c:xMode val="edge"/>
          <c:yMode val="edge"/>
          <c:x val="0.37069922308546061"/>
          <c:y val="0.95581014729950897"/>
          <c:w val="0.21420643729189789"/>
          <c:h val="3.927986906710311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Entry'!$L$5</c:f>
          <c:strCache>
            <c:ptCount val="1"/>
            <c:pt idx="0">
              <c:v> ●  ● T Value Chart
  () Check Standard
 Balance:  ● Measurement Procedure: SOP 28</c:v>
            </c:pt>
          </c:strCache>
        </c:strRef>
      </c:tx>
      <c:layout>
        <c:manualLayout>
          <c:xMode val="edge"/>
          <c:yMode val="edge"/>
          <c:x val="0.28190900230761412"/>
          <c:y val="1.7457763779874253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0.10469848316685165"/>
          <c:y val="0.14511729405346427"/>
          <c:w val="0.87199408065112838"/>
          <c:h val="0.66993998908892527"/>
        </c:manualLayout>
      </c:layout>
      <c:lineChart>
        <c:grouping val="standard"/>
        <c:varyColors val="0"/>
        <c:ser>
          <c:idx val="1"/>
          <c:order val="0"/>
          <c:tx>
            <c:strRef>
              <c:f>'LAP Data Entry'!$P$1</c:f>
              <c:strCache>
                <c:ptCount val="1"/>
                <c:pt idx="0">
                  <c:v>T Value </c:v>
                </c:pt>
              </c:strCache>
            </c:strRef>
          </c:tx>
          <c:spPr>
            <a:ln w="25400">
              <a:solidFill>
                <a:srgbClr val="008000"/>
              </a:solidFill>
              <a:prstDash val="solid"/>
            </a:ln>
          </c:spPr>
          <c:marker>
            <c:symbol val="none"/>
          </c:marker>
          <c:cat>
            <c:numRef>
              <c:f>'LAP Data Entry'!$C$2:$C$4</c:f>
              <c:numCache>
                <c:formatCode>m/d/yyyy</c:formatCode>
                <c:ptCount val="3"/>
              </c:numCache>
            </c:numRef>
          </c:cat>
          <c:val>
            <c:numRef>
              <c:f>'LAP Data Entry'!$P$2:$P$4</c:f>
              <c:numCache>
                <c:formatCode>General</c:formatCode>
                <c:ptCount val="3"/>
              </c:numCache>
            </c:numRef>
          </c:val>
          <c:smooth val="0"/>
          <c:extLst>
            <c:ext xmlns:c16="http://schemas.microsoft.com/office/drawing/2014/chart" uri="{C3380CC4-5D6E-409C-BE32-E72D297353CC}">
              <c16:uniqueId val="{00000000-2D7B-493E-9290-D02F2AFC231D}"/>
            </c:ext>
          </c:extLst>
        </c:ser>
        <c:ser>
          <c:idx val="2"/>
          <c:order val="1"/>
          <c:tx>
            <c:strRef>
              <c:f>'LAP Data Entry'!$AB$1</c:f>
              <c:strCache>
                <c:ptCount val="1"/>
                <c:pt idx="0">
                  <c:v>T Value Mean</c:v>
                </c:pt>
              </c:strCache>
            </c:strRef>
          </c:tx>
          <c:spPr>
            <a:ln w="25400">
              <a:solidFill>
                <a:srgbClr val="800000"/>
              </a:solidFill>
              <a:prstDash val="solid"/>
            </a:ln>
          </c:spPr>
          <c:marker>
            <c:symbol val="none"/>
          </c:marker>
          <c:cat>
            <c:numRef>
              <c:f>'LAP Data Entry'!$C$2:$C$4</c:f>
              <c:numCache>
                <c:formatCode>m/d/yyyy</c:formatCode>
                <c:ptCount val="3"/>
              </c:numCache>
            </c:numRef>
          </c:cat>
          <c:val>
            <c:numRef>
              <c:f>'LAP Data Entry'!$AB$2:$AB$4</c:f>
              <c:numCache>
                <c:formatCode>General</c:formatCode>
                <c:ptCount val="3"/>
                <c:pt idx="0">
                  <c:v>#N/A</c:v>
                </c:pt>
              </c:numCache>
            </c:numRef>
          </c:val>
          <c:smooth val="1"/>
          <c:extLst>
            <c:ext xmlns:c16="http://schemas.microsoft.com/office/drawing/2014/chart" uri="{C3380CC4-5D6E-409C-BE32-E72D297353CC}">
              <c16:uniqueId val="{00000001-2D7B-493E-9290-D02F2AFC231D}"/>
            </c:ext>
          </c:extLst>
        </c:ser>
        <c:dLbls>
          <c:showLegendKey val="0"/>
          <c:showVal val="0"/>
          <c:showCatName val="0"/>
          <c:showSerName val="0"/>
          <c:showPercent val="0"/>
          <c:showBubbleSize val="0"/>
        </c:dLbls>
        <c:smooth val="0"/>
        <c:axId val="493767704"/>
        <c:axId val="773955944"/>
      </c:lineChart>
      <c:catAx>
        <c:axId val="493767704"/>
        <c:scaling>
          <c:orientation val="minMax"/>
        </c:scaling>
        <c:delete val="0"/>
        <c:axPos val="b"/>
        <c:majorGridlines>
          <c:spPr>
            <a:ln w="3175">
              <a:solidFill>
                <a:schemeClr val="bg1"/>
              </a:solidFill>
              <a:prstDash val="solid"/>
            </a:ln>
          </c:spPr>
        </c:majorGridlines>
        <c:numFmt formatCode="m/d/yy;@" sourceLinked="0"/>
        <c:majorTickMark val="out"/>
        <c:minorTickMark val="none"/>
        <c:tickLblPos val="low"/>
        <c:spPr>
          <a:ln w="3175">
            <a:solidFill>
              <a:srgbClr val="000000"/>
            </a:solidFill>
            <a:prstDash val="solid"/>
          </a:ln>
        </c:spPr>
        <c:txPr>
          <a:bodyPr rot="-5400000" vert="horz"/>
          <a:lstStyle/>
          <a:p>
            <a:pPr>
              <a:defRPr sz="900" b="0" i="0" u="none" strike="noStrike" baseline="0">
                <a:solidFill>
                  <a:srgbClr val="000000"/>
                </a:solidFill>
                <a:latin typeface="Trebuchet MS"/>
                <a:ea typeface="Trebuchet MS"/>
                <a:cs typeface="Trebuchet MS"/>
              </a:defRPr>
            </a:pPr>
            <a:endParaRPr lang="en-US"/>
          </a:p>
        </c:txPr>
        <c:crossAx val="773955944"/>
        <c:crosses val="autoZero"/>
        <c:auto val="0"/>
        <c:lblAlgn val="ctr"/>
        <c:lblOffset val="100"/>
        <c:noMultiLvlLbl val="0"/>
      </c:catAx>
      <c:valAx>
        <c:axId val="773955944"/>
        <c:scaling>
          <c:orientation val="minMax"/>
        </c:scaling>
        <c:delete val="0"/>
        <c:axPos val="l"/>
        <c:majorGridlines>
          <c:spPr>
            <a:ln w="3175">
              <a:solidFill>
                <a:srgbClr val="000000">
                  <a:alpha val="50000"/>
                </a:srgbClr>
              </a:solidFill>
              <a:prstDash val="solid"/>
            </a:ln>
          </c:spPr>
        </c:majorGridlines>
        <c:title>
          <c:tx>
            <c:rich>
              <a:bodyPr/>
              <a:lstStyle/>
              <a:p>
                <a:pPr>
                  <a:defRPr sz="1050" b="0" i="0" u="none" strike="noStrike" baseline="0">
                    <a:solidFill>
                      <a:srgbClr val="000000"/>
                    </a:solidFill>
                    <a:latin typeface="Trebuchet MS"/>
                    <a:ea typeface="Trebuchet MS"/>
                    <a:cs typeface="Trebuchet MS"/>
                  </a:defRPr>
                </a:pPr>
                <a:r>
                  <a:rPr lang="en-US"/>
                  <a:t>Value</a:t>
                </a:r>
              </a:p>
            </c:rich>
          </c:tx>
          <c:layout>
            <c:manualLayout>
              <c:xMode val="edge"/>
              <c:yMode val="edge"/>
              <c:x val="1.2208651611370577E-2"/>
              <c:y val="0.438625132520290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493767704"/>
        <c:crosses val="autoZero"/>
        <c:crossBetween val="between"/>
      </c:valAx>
      <c:spPr>
        <a:solidFill>
          <a:srgbClr val="FFFFFF"/>
        </a:solidFill>
        <a:ln w="12700">
          <a:solidFill>
            <a:srgbClr val="808080"/>
          </a:solidFill>
          <a:prstDash val="solid"/>
        </a:ln>
      </c:spPr>
    </c:plotArea>
    <c:legend>
      <c:legendPos val="r"/>
      <c:layout>
        <c:manualLayout>
          <c:xMode val="edge"/>
          <c:yMode val="edge"/>
          <c:x val="0.37402885682574916"/>
          <c:y val="0.93126022913256956"/>
          <c:w val="0.27081021087680357"/>
          <c:h val="6.5466448445171854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Entry'!$L$6</c:f>
          <c:strCache>
            <c:ptCount val="1"/>
            <c:pt idx="0">
              <c:v> ●  ● Check Standard vs Humidity Chart
  () Check Standard
 Balance:  ● Measurement Procedure: SOP 28</c:v>
            </c:pt>
          </c:strCache>
        </c:strRef>
      </c:tx>
      <c:layout>
        <c:manualLayout>
          <c:xMode val="edge"/>
          <c:yMode val="edge"/>
          <c:x val="0.27266000261001694"/>
          <c:y val="1.9640005751432186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9.1009988901220862E-2"/>
          <c:y val="0.12111292962356793"/>
          <c:w val="0.88790233074361757"/>
          <c:h val="0.7725040916530298"/>
        </c:manualLayout>
      </c:layout>
      <c:scatterChart>
        <c:scatterStyle val="lineMarker"/>
        <c:varyColors val="0"/>
        <c:ser>
          <c:idx val="0"/>
          <c:order val="0"/>
          <c:tx>
            <c:strRef>
              <c:f>'LAP Data Entry'!$F$1</c:f>
              <c:strCache>
                <c:ptCount val="1"/>
                <c:pt idx="0">
                  <c:v>Check Observed Value</c:v>
                </c:pt>
              </c:strCache>
            </c:strRef>
          </c:tx>
          <c:spPr>
            <a:ln w="28575">
              <a:noFill/>
            </a:ln>
          </c:spPr>
          <c:marker>
            <c:symbol val="diamond"/>
            <c:size val="8"/>
            <c:spPr>
              <a:solidFill>
                <a:srgbClr val="FFFF00"/>
              </a:solidFill>
              <a:ln w="15875">
                <a:solidFill>
                  <a:srgbClr val="002060"/>
                </a:solidFill>
                <a:prstDash val="solid"/>
              </a:ln>
            </c:spPr>
          </c:marker>
          <c:xVal>
            <c:numRef>
              <c:f>'LAP Data Entry'!$M$2:$M$4</c:f>
              <c:numCache>
                <c:formatCode>0.0</c:formatCode>
                <c:ptCount val="3"/>
              </c:numCache>
            </c:numRef>
          </c:xVal>
          <c:yVal>
            <c:numRef>
              <c:f>'LAP Data Entry'!$F$2:$F$4</c:f>
              <c:numCache>
                <c:formatCode>General</c:formatCode>
                <c:ptCount val="3"/>
              </c:numCache>
            </c:numRef>
          </c:yVal>
          <c:smooth val="0"/>
          <c:extLst>
            <c:ext xmlns:c16="http://schemas.microsoft.com/office/drawing/2014/chart" uri="{C3380CC4-5D6E-409C-BE32-E72D297353CC}">
              <c16:uniqueId val="{00000000-F49D-4057-9333-0DE77D6F7391}"/>
            </c:ext>
          </c:extLst>
        </c:ser>
        <c:dLbls>
          <c:showLegendKey val="0"/>
          <c:showVal val="0"/>
          <c:showCatName val="0"/>
          <c:showSerName val="0"/>
          <c:showPercent val="0"/>
          <c:showBubbleSize val="0"/>
        </c:dLbls>
        <c:axId val="374712536"/>
        <c:axId val="374712928"/>
      </c:scatterChart>
      <c:valAx>
        <c:axId val="374712536"/>
        <c:scaling>
          <c:orientation val="minMax"/>
          <c:max val="60"/>
          <c:min val="30"/>
        </c:scaling>
        <c:delete val="0"/>
        <c:axPos val="b"/>
        <c:title>
          <c:tx>
            <c:rich>
              <a:bodyPr/>
              <a:lstStyle/>
              <a:p>
                <a:pPr>
                  <a:defRPr sz="1050" b="0" i="0" u="none" strike="noStrike" baseline="0">
                    <a:solidFill>
                      <a:srgbClr val="000000"/>
                    </a:solidFill>
                    <a:latin typeface="Trebuchet MS"/>
                    <a:ea typeface="Trebuchet MS"/>
                    <a:cs typeface="Trebuchet MS"/>
                  </a:defRPr>
                </a:pPr>
                <a:r>
                  <a:rPr lang="en-US"/>
                  <a:t>Humidity (% RH)</a:t>
                </a:r>
              </a:p>
            </c:rich>
          </c:tx>
          <c:layout>
            <c:manualLayout>
              <c:xMode val="edge"/>
              <c:yMode val="edge"/>
              <c:x val="0.47132812426199672"/>
              <c:y val="0.9487180016387455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74712928"/>
        <c:crossesAt val="-1000"/>
        <c:crossBetween val="midCat"/>
      </c:valAx>
      <c:valAx>
        <c:axId val="374712928"/>
        <c:scaling>
          <c:orientation val="minMax"/>
        </c:scaling>
        <c:delete val="0"/>
        <c:axPos val="l"/>
        <c:majorGridlines>
          <c:spPr>
            <a:ln w="3175">
              <a:solidFill>
                <a:srgbClr val="000000">
                  <a:alpha val="50000"/>
                </a:srgbClr>
              </a:solidFill>
              <a:prstDash val="solid"/>
            </a:ln>
          </c:spPr>
        </c:majorGridlines>
        <c:title>
          <c:tx>
            <c:strRef>
              <c:f>'Data Entry'!$L$9</c:f>
              <c:strCache>
                <c:ptCount val="1"/>
                <c:pt idx="0">
                  <c:v>milligrams</c:v>
                </c:pt>
              </c:strCache>
            </c:strRef>
          </c:tx>
          <c:layout>
            <c:manualLayout>
              <c:xMode val="edge"/>
              <c:yMode val="edge"/>
              <c:x val="1.3688477568257248E-2"/>
              <c:y val="0.43917069301317946"/>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74712536"/>
        <c:crossesAt val="-1000"/>
        <c:crossBetween val="midCat"/>
      </c:valAx>
      <c:spPr>
        <a:no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Entry'!$L$7</c:f>
          <c:strCache>
            <c:ptCount val="1"/>
            <c:pt idx="0">
              <c:v> ●  ● Check Standard vs Pressure Chart
  () Check Standard
 Balance:  ● Measurement Procedure: SOP 28</c:v>
            </c:pt>
          </c:strCache>
        </c:strRef>
      </c:tx>
      <c:layout>
        <c:manualLayout>
          <c:xMode val="edge"/>
          <c:yMode val="edge"/>
          <c:x val="0.27598961657703708"/>
          <c:y val="1.5275521808316324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9.1009988901220862E-2"/>
          <c:y val="0.12111292962356793"/>
          <c:w val="0.88457269700332952"/>
          <c:h val="0.7725040916530298"/>
        </c:manualLayout>
      </c:layout>
      <c:scatterChart>
        <c:scatterStyle val="lineMarker"/>
        <c:varyColors val="0"/>
        <c:ser>
          <c:idx val="0"/>
          <c:order val="0"/>
          <c:tx>
            <c:strRef>
              <c:f>'LAP Data Entry'!$L$1</c:f>
              <c:strCache>
                <c:ptCount val="1"/>
                <c:pt idx="0">
                  <c:v>Average Pressure</c:v>
                </c:pt>
              </c:strCache>
            </c:strRef>
          </c:tx>
          <c:spPr>
            <a:ln w="28575">
              <a:noFill/>
            </a:ln>
          </c:spPr>
          <c:marker>
            <c:symbol val="diamond"/>
            <c:size val="8"/>
            <c:spPr>
              <a:solidFill>
                <a:srgbClr val="FFFF00"/>
              </a:solidFill>
              <a:ln w="15875">
                <a:solidFill>
                  <a:srgbClr val="002060"/>
                </a:solidFill>
                <a:prstDash val="solid"/>
              </a:ln>
            </c:spPr>
          </c:marker>
          <c:xVal>
            <c:numRef>
              <c:f>'LAP Data Entry'!$L$2:$L$4</c:f>
              <c:numCache>
                <c:formatCode>0.0</c:formatCode>
                <c:ptCount val="3"/>
              </c:numCache>
            </c:numRef>
          </c:xVal>
          <c:yVal>
            <c:numRef>
              <c:f>'LAP Data Entry'!$F$2:$F$4</c:f>
              <c:numCache>
                <c:formatCode>General</c:formatCode>
                <c:ptCount val="3"/>
              </c:numCache>
            </c:numRef>
          </c:yVal>
          <c:smooth val="0"/>
          <c:extLst>
            <c:ext xmlns:c16="http://schemas.microsoft.com/office/drawing/2014/chart" uri="{C3380CC4-5D6E-409C-BE32-E72D297353CC}">
              <c16:uniqueId val="{00000000-0DD0-4FF0-85F0-A4D618B3DDAC}"/>
            </c:ext>
          </c:extLst>
        </c:ser>
        <c:dLbls>
          <c:showLegendKey val="0"/>
          <c:showVal val="0"/>
          <c:showCatName val="0"/>
          <c:showSerName val="0"/>
          <c:showPercent val="0"/>
          <c:showBubbleSize val="0"/>
        </c:dLbls>
        <c:axId val="382013752"/>
        <c:axId val="382014144"/>
      </c:scatterChart>
      <c:valAx>
        <c:axId val="382013752"/>
        <c:scaling>
          <c:orientation val="minMax"/>
        </c:scaling>
        <c:delete val="0"/>
        <c:axPos val="b"/>
        <c:title>
          <c:tx>
            <c:rich>
              <a:bodyPr/>
              <a:lstStyle/>
              <a:p>
                <a:pPr>
                  <a:defRPr sz="1050" b="0" i="0" u="none" strike="noStrike" baseline="0">
                    <a:solidFill>
                      <a:srgbClr val="000000"/>
                    </a:solidFill>
                    <a:latin typeface="Trebuchet MS"/>
                    <a:ea typeface="Trebuchet MS"/>
                    <a:cs typeface="Trebuchet MS"/>
                  </a:defRPr>
                </a:pPr>
                <a:r>
                  <a:rPr lang="en-US"/>
                  <a:t>Pressure (mmHg)</a:t>
                </a:r>
              </a:p>
            </c:rich>
          </c:tx>
          <c:layout>
            <c:manualLayout>
              <c:xMode val="edge"/>
              <c:yMode val="edge"/>
              <c:x val="0.43991622630560046"/>
              <c:y val="0.9443535176956295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82014144"/>
        <c:crossesAt val="-1000"/>
        <c:crossBetween val="midCat"/>
      </c:valAx>
      <c:valAx>
        <c:axId val="382014144"/>
        <c:scaling>
          <c:orientation val="minMax"/>
        </c:scaling>
        <c:delete val="0"/>
        <c:axPos val="l"/>
        <c:majorGridlines>
          <c:spPr>
            <a:ln w="3175">
              <a:solidFill>
                <a:srgbClr val="000000">
                  <a:alpha val="50000"/>
                </a:srgbClr>
              </a:solidFill>
              <a:prstDash val="solid"/>
            </a:ln>
          </c:spPr>
        </c:majorGridlines>
        <c:title>
          <c:tx>
            <c:strRef>
              <c:f>'Data Entry'!$L$9</c:f>
              <c:strCache>
                <c:ptCount val="1"/>
                <c:pt idx="0">
                  <c:v>milligrams</c:v>
                </c:pt>
              </c:strCache>
            </c:strRef>
          </c:tx>
          <c:layout>
            <c:manualLayout>
              <c:xMode val="edge"/>
              <c:yMode val="edge"/>
              <c:x val="1.516823297386662E-2"/>
              <c:y val="0.43917069301317946"/>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382013752"/>
        <c:crosses val="autoZero"/>
        <c:crossBetween val="midCat"/>
      </c:valAx>
      <c:spPr>
        <a:no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'Data Entry'!$L$8</c:f>
          <c:strCache>
            <c:ptCount val="1"/>
            <c:pt idx="0">
              <c:v> ●  ● Check Standard vs Temperature Chart
  () Check Standard
 Balance:  ● Measurement Procedure: SOP 28</c:v>
            </c:pt>
          </c:strCache>
        </c:strRef>
      </c:tx>
      <c:layout>
        <c:manualLayout>
          <c:xMode val="edge"/>
          <c:yMode val="edge"/>
          <c:x val="0.26933042336270713"/>
          <c:y val="1.3093279836758395E-2"/>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autoTitleDeleted val="0"/>
    <c:plotArea>
      <c:layout>
        <c:manualLayout>
          <c:layoutTarget val="inner"/>
          <c:xMode val="edge"/>
          <c:yMode val="edge"/>
          <c:x val="9.1009988901220862E-2"/>
          <c:y val="0.12111292962356793"/>
          <c:w val="0.88235294117647056"/>
          <c:h val="0.7725040916530298"/>
        </c:manualLayout>
      </c:layout>
      <c:scatterChart>
        <c:scatterStyle val="lineMarker"/>
        <c:varyColors val="0"/>
        <c:ser>
          <c:idx val="0"/>
          <c:order val="0"/>
          <c:tx>
            <c:strRef>
              <c:f>'LAP Data Entry'!$K$1</c:f>
              <c:strCache>
                <c:ptCount val="1"/>
                <c:pt idx="0">
                  <c:v>Average Temp</c:v>
                </c:pt>
              </c:strCache>
            </c:strRef>
          </c:tx>
          <c:spPr>
            <a:ln w="28575">
              <a:noFill/>
            </a:ln>
          </c:spPr>
          <c:marker>
            <c:symbol val="diamond"/>
            <c:size val="8"/>
            <c:spPr>
              <a:solidFill>
                <a:srgbClr val="FFFF00"/>
              </a:solidFill>
              <a:ln w="15875">
                <a:solidFill>
                  <a:srgbClr val="002060"/>
                </a:solidFill>
                <a:prstDash val="solid"/>
              </a:ln>
            </c:spPr>
          </c:marker>
          <c:xVal>
            <c:numRef>
              <c:f>'LAP Data Entry'!$K$2:$K$4</c:f>
              <c:numCache>
                <c:formatCode>0.0</c:formatCode>
                <c:ptCount val="3"/>
              </c:numCache>
            </c:numRef>
          </c:xVal>
          <c:yVal>
            <c:numRef>
              <c:f>'LAP Data Entry'!$F$2:$F$4</c:f>
              <c:numCache>
                <c:formatCode>General</c:formatCode>
                <c:ptCount val="3"/>
              </c:numCache>
            </c:numRef>
          </c:yVal>
          <c:smooth val="0"/>
          <c:extLst>
            <c:ext xmlns:c16="http://schemas.microsoft.com/office/drawing/2014/chart" uri="{C3380CC4-5D6E-409C-BE32-E72D297353CC}">
              <c16:uniqueId val="{00000000-3F92-4BB7-ACFD-4B3749BB23EA}"/>
            </c:ext>
          </c:extLst>
        </c:ser>
        <c:dLbls>
          <c:showLegendKey val="0"/>
          <c:showVal val="0"/>
          <c:showCatName val="0"/>
          <c:showSerName val="0"/>
          <c:showPercent val="0"/>
          <c:showBubbleSize val="0"/>
        </c:dLbls>
        <c:axId val="491612384"/>
        <c:axId val="491611208"/>
      </c:scatterChart>
      <c:valAx>
        <c:axId val="491612384"/>
        <c:scaling>
          <c:orientation val="minMax"/>
        </c:scaling>
        <c:delete val="0"/>
        <c:axPos val="b"/>
        <c:title>
          <c:tx>
            <c:rich>
              <a:bodyPr/>
              <a:lstStyle/>
              <a:p>
                <a:pPr>
                  <a:defRPr sz="1050" b="0" i="0" u="none" strike="noStrike" baseline="0">
                    <a:solidFill>
                      <a:srgbClr val="000000"/>
                    </a:solidFill>
                    <a:latin typeface="Trebuchet MS"/>
                    <a:ea typeface="Trebuchet MS"/>
                    <a:cs typeface="Trebuchet MS"/>
                  </a:defRPr>
                </a:pPr>
                <a:r>
                  <a:rPr lang="en-US"/>
                  <a:t>Temperature (ºC)</a:t>
                </a:r>
              </a:p>
            </c:rich>
          </c:tx>
          <c:layout>
            <c:manualLayout>
              <c:xMode val="edge"/>
              <c:yMode val="edge"/>
              <c:x val="0.42841282164406108"/>
              <c:y val="0.9465357596671875"/>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491611208"/>
        <c:crossesAt val="-1000"/>
        <c:crossBetween val="midCat"/>
      </c:valAx>
      <c:valAx>
        <c:axId val="491611208"/>
        <c:scaling>
          <c:orientation val="minMax"/>
        </c:scaling>
        <c:delete val="0"/>
        <c:axPos val="l"/>
        <c:majorGridlines>
          <c:spPr>
            <a:ln w="3175">
              <a:solidFill>
                <a:srgbClr val="000000">
                  <a:alpha val="50000"/>
                </a:srgbClr>
              </a:solidFill>
              <a:prstDash val="solid"/>
            </a:ln>
          </c:spPr>
        </c:majorGridlines>
        <c:title>
          <c:tx>
            <c:strRef>
              <c:f>'Data Entry'!$L$9</c:f>
              <c:strCache>
                <c:ptCount val="1"/>
                <c:pt idx="0">
                  <c:v>milligrams</c:v>
                </c:pt>
              </c:strCache>
            </c:strRef>
          </c:tx>
          <c:layout>
            <c:manualLayout>
              <c:xMode val="edge"/>
              <c:yMode val="edge"/>
              <c:x val="1.3688477568257248E-2"/>
              <c:y val="0.43917069301317946"/>
            </c:manualLayout>
          </c:layout>
          <c:overlay val="0"/>
          <c:spPr>
            <a:noFill/>
            <a:ln w="25400">
              <a:noFill/>
            </a:ln>
          </c:spPr>
          <c:txPr>
            <a:bodyPr/>
            <a:lstStyle/>
            <a:p>
              <a:pPr>
                <a:defRPr sz="105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rebuchet MS"/>
                <a:ea typeface="Trebuchet MS"/>
                <a:cs typeface="Trebuchet MS"/>
              </a:defRPr>
            </a:pPr>
            <a:endParaRPr lang="en-US"/>
          </a:p>
        </c:txPr>
        <c:crossAx val="491612384"/>
        <c:crosses val="autoZero"/>
        <c:crossBetween val="midCat"/>
      </c:valAx>
      <c:spPr>
        <a:no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C00000"/>
  </sheetPr>
  <sheetViews>
    <sheetView workbookViewId="0"/>
  </sheetViews>
  <sheetProtection password="83AF" content="1" objects="1"/>
  <pageMargins left="0.25" right="0.25" top="0.5" bottom="0.5"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C00000"/>
  </sheetPr>
  <sheetViews>
    <sheetView zoomScale="88" workbookViewId="0"/>
  </sheetViews>
  <sheetProtection password="83AF" content="1" objects="1"/>
  <pageMargins left="0.25" right="0.25" top="0.75" bottom="0.75"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rgb="FF002060"/>
  </sheetPr>
  <sheetViews>
    <sheetView workbookViewId="0"/>
  </sheetViews>
  <sheetProtection password="83AF" content="1" objects="1"/>
  <pageMargins left="0.75" right="0.75" top="1" bottom="1" header="0.5" footer="0.5"/>
  <pageSetup orientation="landscape" horizontalDpi="300" verticalDpi="3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rgb="FF002060"/>
  </sheetPr>
  <sheetViews>
    <sheetView workbookViewId="0"/>
  </sheetViews>
  <sheetProtection password="83AF" content="1" objects="1"/>
  <pageMargins left="0.75" right="0.75" top="1" bottom="1" header="0.5" footer="0.5"/>
  <pageSetup orientation="landscape" horizontalDpi="300" verticalDpi="3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9" tint="-0.249977111117893"/>
  </sheetPr>
  <sheetViews>
    <sheetView zoomScale="93" workbookViewId="0"/>
  </sheetViews>
  <sheetProtection password="83AF" content="1" objects="1"/>
  <pageMargins left="0.75" right="0.75" top="1" bottom="1" header="0.5" footer="0.5"/>
  <pageSetup orientation="landscape" horizontalDpi="1200"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9" tint="-0.249977111117893"/>
  </sheetPr>
  <sheetViews>
    <sheetView workbookViewId="0"/>
  </sheetViews>
  <sheetProtection password="83AF" content="1" objects="1"/>
  <pageMargins left="0.75" right="0.75" top="1" bottom="1" header="0.5" footer="0.5"/>
  <pageSetup orientation="landscape" horizontalDpi="1200"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9" tint="-0.249977111117893"/>
  </sheetPr>
  <sheetViews>
    <sheetView workbookViewId="0"/>
  </sheetViews>
  <sheetProtection password="83AF" content="1" objects="1"/>
  <pageMargins left="0.75" right="0.75" top="1" bottom="1" header="0.5" footer="0.5"/>
  <pageSetup orientation="landscape" horizontalDpi="1200" r:id="rId1"/>
  <headerFooter alignWithMargins="0"/>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3</xdr:row>
          <xdr:rowOff>152400</xdr:rowOff>
        </xdr:from>
        <xdr:to>
          <xdr:col>9</xdr:col>
          <xdr:colOff>542925</xdr:colOff>
          <xdr:row>6</xdr:row>
          <xdr:rowOff>9525</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CCFF99"/>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xdr:row>
          <xdr:rowOff>123825</xdr:rowOff>
        </xdr:from>
        <xdr:to>
          <xdr:col>7</xdr:col>
          <xdr:colOff>400050</xdr:colOff>
          <xdr:row>6</xdr:row>
          <xdr:rowOff>19050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CCFF99"/>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19</xdr:row>
          <xdr:rowOff>76200</xdr:rowOff>
        </xdr:from>
        <xdr:to>
          <xdr:col>3</xdr:col>
          <xdr:colOff>238125</xdr:colOff>
          <xdr:row>21</xdr:row>
          <xdr:rowOff>171450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absoluteAnchor>
    <xdr:pos x="0" y="0"/>
    <xdr:ext cx="9496425" cy="673417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477375" cy="6276975"/>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82025" cy="5819775"/>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82025" cy="581977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82025" cy="5819775"/>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43925" cy="5819775"/>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19775"/>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NIST%20HB%20145,%20SOP%2021%20-%20LPG%20Provers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an%20Wright/My%20Documents/WSDA%20Metrology%20Laboratory/Uncertainties/Budgets/GravC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NKED/TOL/Mass%20MP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45LPG"/>
      <sheetName val="Current"/>
      <sheetName val="Pcorr Table &amp; Chart"/>
    </sheetNames>
    <sheetDataSet>
      <sheetData sheetId="0" refreshError="1">
        <row r="67">
          <cell r="F67">
            <v>1</v>
          </cell>
        </row>
        <row r="99">
          <cell r="G99">
            <v>0</v>
          </cell>
          <cell r="I99">
            <v>0</v>
          </cell>
          <cell r="J99" t="e">
            <v>#VALUE!</v>
          </cell>
        </row>
        <row r="100">
          <cell r="G100">
            <v>10</v>
          </cell>
          <cell r="I100">
            <v>0</v>
          </cell>
          <cell r="J100" t="e">
            <v>#VALUE!</v>
          </cell>
        </row>
        <row r="101">
          <cell r="G101">
            <v>20</v>
          </cell>
          <cell r="I101">
            <v>0</v>
          </cell>
          <cell r="J101" t="e">
            <v>#VALUE!</v>
          </cell>
        </row>
        <row r="102">
          <cell r="G102">
            <v>30</v>
          </cell>
          <cell r="I102">
            <v>0</v>
          </cell>
          <cell r="J102" t="e">
            <v>#VALUE!</v>
          </cell>
        </row>
        <row r="103">
          <cell r="G103">
            <v>40</v>
          </cell>
          <cell r="I103">
            <v>0</v>
          </cell>
          <cell r="J103" t="e">
            <v>#VALUE!</v>
          </cell>
        </row>
        <row r="104">
          <cell r="G104">
            <v>50</v>
          </cell>
          <cell r="I104">
            <v>0</v>
          </cell>
          <cell r="J104" t="e">
            <v>#VALUE!</v>
          </cell>
        </row>
        <row r="105">
          <cell r="G105">
            <v>60</v>
          </cell>
          <cell r="I105">
            <v>0</v>
          </cell>
          <cell r="J105" t="e">
            <v>#VALUE!</v>
          </cell>
        </row>
        <row r="106">
          <cell r="G106">
            <v>70</v>
          </cell>
          <cell r="I106">
            <v>0</v>
          </cell>
          <cell r="J106" t="e">
            <v>#VALUE!</v>
          </cell>
        </row>
        <row r="107">
          <cell r="G107">
            <v>80</v>
          </cell>
          <cell r="I107">
            <v>0</v>
          </cell>
          <cell r="J107" t="e">
            <v>#VALUE!</v>
          </cell>
        </row>
        <row r="108">
          <cell r="G108">
            <v>90</v>
          </cell>
          <cell r="I108">
            <v>0</v>
          </cell>
          <cell r="J108" t="e">
            <v>#VALUE!</v>
          </cell>
        </row>
        <row r="109">
          <cell r="G109">
            <v>100</v>
          </cell>
          <cell r="I109">
            <v>0</v>
          </cell>
          <cell r="J109" t="e">
            <v>#VALUE!</v>
          </cell>
        </row>
        <row r="110">
          <cell r="G110">
            <v>110</v>
          </cell>
          <cell r="I110">
            <v>0</v>
          </cell>
          <cell r="J110" t="e">
            <v>#VALUE!</v>
          </cell>
        </row>
        <row r="111">
          <cell r="G111">
            <v>120</v>
          </cell>
          <cell r="I111">
            <v>0</v>
          </cell>
          <cell r="J111" t="e">
            <v>#VALUE!</v>
          </cell>
        </row>
        <row r="112">
          <cell r="G112">
            <v>130</v>
          </cell>
          <cell r="I112">
            <v>0</v>
          </cell>
          <cell r="J112" t="e">
            <v>#VALUE!</v>
          </cell>
        </row>
        <row r="113">
          <cell r="G113">
            <v>140</v>
          </cell>
          <cell r="I113">
            <v>0</v>
          </cell>
          <cell r="J113" t="e">
            <v>#VALUE!</v>
          </cell>
        </row>
        <row r="114">
          <cell r="G114">
            <v>150</v>
          </cell>
          <cell r="I114">
            <v>0</v>
          </cell>
          <cell r="J114" t="e">
            <v>#VALUE!</v>
          </cell>
        </row>
        <row r="115">
          <cell r="G115">
            <v>160</v>
          </cell>
          <cell r="I115">
            <v>0</v>
          </cell>
          <cell r="J115" t="e">
            <v>#VALUE!</v>
          </cell>
        </row>
        <row r="116">
          <cell r="G116">
            <v>170</v>
          </cell>
          <cell r="I116">
            <v>0</v>
          </cell>
          <cell r="J116" t="e">
            <v>#VALUE!</v>
          </cell>
        </row>
        <row r="117">
          <cell r="G117">
            <v>180</v>
          </cell>
          <cell r="I117">
            <v>0</v>
          </cell>
          <cell r="J117" t="e">
            <v>#VALUE!</v>
          </cell>
        </row>
        <row r="118">
          <cell r="G118">
            <v>190</v>
          </cell>
          <cell r="I118">
            <v>0</v>
          </cell>
          <cell r="J118" t="e">
            <v>#VALUE!</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Liter"/>
      <sheetName val="5 Gallon"/>
      <sheetName val="5 Gal Unc"/>
      <sheetName val="CIPM Air Density 1981_91"/>
      <sheetName val="Water Density"/>
      <sheetName val="Water Density Chart"/>
      <sheetName val="Water Density Chart 2"/>
    </sheetNames>
    <sheetDataSet>
      <sheetData sheetId="0"/>
      <sheetData sheetId="1"/>
      <sheetData sheetId="2"/>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ware Technical Assessment"/>
      <sheetName val="Documentation"/>
      <sheetName val="Information"/>
      <sheetName val="MPE Finder"/>
      <sheetName val="NIST HB 105-8"/>
      <sheetName val="OIML R 111"/>
      <sheetName val="ASTM E 617 g"/>
      <sheetName val="ASTM E 617 lb"/>
      <sheetName val="ASTM E 617 oz"/>
      <sheetName val="ASTM E 617 oz t"/>
      <sheetName val="ASTM E 617 dwt"/>
      <sheetName val="ASTM E 617 gr"/>
      <sheetName val="ASTM E 617 carat"/>
      <sheetName val="ASTM E 617 ap"/>
      <sheetName val="NIST HB 105-1 g"/>
      <sheetName val="NIST HB 105-1 lb"/>
      <sheetName val="NIST HB 105-1 oz"/>
      <sheetName val="NIST HB 105-1 ap"/>
      <sheetName val="NIST HB 105-1 gr"/>
      <sheetName val="NIST HB 105-1 F g"/>
      <sheetName val="NIST HB 105-1 F lb"/>
      <sheetName val="NIST HB 105-1 F oz"/>
      <sheetName val="NIST HB 105-1 F ap"/>
      <sheetName val="NIST HB 105-1 F gr"/>
      <sheetName val="User Specified"/>
      <sheetName val="NIST HB 105-1"/>
      <sheetName val="ASTM E 617"/>
      <sheetName val="Mass MPE"/>
    </sheetNames>
    <sheetDataSet>
      <sheetData sheetId="0"/>
      <sheetData sheetId="1"/>
      <sheetData sheetId="2"/>
      <sheetData sheetId="3"/>
      <sheetData sheetId="4">
        <row r="3">
          <cell r="B3">
            <v>2721554.22</v>
          </cell>
          <cell r="C3">
            <v>907184.74</v>
          </cell>
        </row>
        <row r="4">
          <cell r="B4">
            <v>2494758.0350000001</v>
          </cell>
          <cell r="C4">
            <v>680388.55499999993</v>
          </cell>
        </row>
        <row r="5">
          <cell r="B5">
            <v>2267961.85</v>
          </cell>
          <cell r="C5">
            <v>680388.55499999993</v>
          </cell>
        </row>
        <row r="6">
          <cell r="B6">
            <v>2041165.665</v>
          </cell>
          <cell r="C6">
            <v>566990.46250000002</v>
          </cell>
        </row>
        <row r="7">
          <cell r="B7">
            <v>1814369.48</v>
          </cell>
          <cell r="C7">
            <v>566990.46250000002</v>
          </cell>
        </row>
        <row r="8">
          <cell r="B8">
            <v>1587573.2950000002</v>
          </cell>
          <cell r="C8">
            <v>453592.37</v>
          </cell>
        </row>
        <row r="9">
          <cell r="B9">
            <v>1360777.11</v>
          </cell>
          <cell r="C9">
            <v>453592.37</v>
          </cell>
        </row>
        <row r="10">
          <cell r="B10">
            <v>1133980.925</v>
          </cell>
          <cell r="C10">
            <v>226796.185</v>
          </cell>
        </row>
        <row r="11">
          <cell r="B11">
            <v>907184.74</v>
          </cell>
          <cell r="C11">
            <v>226796.185</v>
          </cell>
        </row>
      </sheetData>
      <sheetData sheetId="5">
        <row r="3">
          <cell r="B3">
            <v>5000000</v>
          </cell>
          <cell r="C3" t="str">
            <v>---</v>
          </cell>
          <cell r="D3" t="str">
            <v>---</v>
          </cell>
          <cell r="E3">
            <v>25000</v>
          </cell>
          <cell r="F3">
            <v>80000</v>
          </cell>
          <cell r="G3">
            <v>250000</v>
          </cell>
          <cell r="H3">
            <v>500000</v>
          </cell>
          <cell r="I3">
            <v>800000</v>
          </cell>
          <cell r="J3">
            <v>1600000</v>
          </cell>
          <cell r="K3">
            <v>2500000</v>
          </cell>
        </row>
        <row r="4">
          <cell r="B4">
            <v>2000000</v>
          </cell>
          <cell r="C4" t="str">
            <v>---</v>
          </cell>
          <cell r="D4" t="str">
            <v>---</v>
          </cell>
          <cell r="E4">
            <v>10000</v>
          </cell>
          <cell r="F4">
            <v>30000</v>
          </cell>
          <cell r="G4">
            <v>100000</v>
          </cell>
          <cell r="H4">
            <v>200000</v>
          </cell>
          <cell r="I4">
            <v>300000</v>
          </cell>
          <cell r="J4">
            <v>600000</v>
          </cell>
          <cell r="K4">
            <v>1000000</v>
          </cell>
        </row>
        <row r="5">
          <cell r="B5">
            <v>1000000</v>
          </cell>
          <cell r="C5" t="str">
            <v>---</v>
          </cell>
          <cell r="D5">
            <v>1600</v>
          </cell>
          <cell r="E5">
            <v>5000</v>
          </cell>
          <cell r="F5">
            <v>16000</v>
          </cell>
          <cell r="G5">
            <v>50000</v>
          </cell>
          <cell r="H5">
            <v>100000</v>
          </cell>
          <cell r="I5">
            <v>160000</v>
          </cell>
          <cell r="J5">
            <v>300000</v>
          </cell>
          <cell r="K5">
            <v>500000</v>
          </cell>
        </row>
        <row r="6">
          <cell r="B6">
            <v>500000</v>
          </cell>
          <cell r="C6" t="str">
            <v>---</v>
          </cell>
          <cell r="D6">
            <v>800</v>
          </cell>
          <cell r="E6">
            <v>2500</v>
          </cell>
          <cell r="F6">
            <v>8000</v>
          </cell>
          <cell r="G6">
            <v>25000</v>
          </cell>
          <cell r="H6">
            <v>50000</v>
          </cell>
          <cell r="I6">
            <v>80000</v>
          </cell>
          <cell r="J6">
            <v>160000</v>
          </cell>
          <cell r="K6">
            <v>250000</v>
          </cell>
        </row>
        <row r="7">
          <cell r="B7">
            <v>200000</v>
          </cell>
          <cell r="C7" t="str">
            <v>---</v>
          </cell>
          <cell r="D7">
            <v>300</v>
          </cell>
          <cell r="E7">
            <v>1000</v>
          </cell>
          <cell r="F7">
            <v>3000</v>
          </cell>
          <cell r="G7">
            <v>10000</v>
          </cell>
          <cell r="H7">
            <v>20000</v>
          </cell>
          <cell r="I7">
            <v>30000</v>
          </cell>
          <cell r="J7">
            <v>60000</v>
          </cell>
          <cell r="K7">
            <v>100000</v>
          </cell>
        </row>
        <row r="8">
          <cell r="B8">
            <v>100000</v>
          </cell>
          <cell r="C8" t="str">
            <v>---</v>
          </cell>
          <cell r="D8">
            <v>160</v>
          </cell>
          <cell r="E8">
            <v>500</v>
          </cell>
          <cell r="F8">
            <v>1600</v>
          </cell>
          <cell r="G8">
            <v>5000</v>
          </cell>
          <cell r="H8">
            <v>10000</v>
          </cell>
          <cell r="I8">
            <v>16000</v>
          </cell>
          <cell r="J8">
            <v>30000</v>
          </cell>
          <cell r="K8">
            <v>50000</v>
          </cell>
        </row>
        <row r="9">
          <cell r="B9">
            <v>50000</v>
          </cell>
          <cell r="C9">
            <v>25</v>
          </cell>
          <cell r="D9">
            <v>80</v>
          </cell>
          <cell r="E9">
            <v>250</v>
          </cell>
          <cell r="F9">
            <v>800</v>
          </cell>
          <cell r="G9">
            <v>2500</v>
          </cell>
          <cell r="H9">
            <v>5000</v>
          </cell>
          <cell r="I9">
            <v>8000</v>
          </cell>
          <cell r="J9">
            <v>16000</v>
          </cell>
          <cell r="K9">
            <v>25000</v>
          </cell>
        </row>
        <row r="10">
          <cell r="B10">
            <v>20000</v>
          </cell>
          <cell r="C10">
            <v>10</v>
          </cell>
          <cell r="D10">
            <v>30</v>
          </cell>
          <cell r="E10">
            <v>100</v>
          </cell>
          <cell r="F10">
            <v>300</v>
          </cell>
          <cell r="G10">
            <v>1000</v>
          </cell>
          <cell r="H10" t="str">
            <v>---</v>
          </cell>
          <cell r="I10">
            <v>3000</v>
          </cell>
          <cell r="J10" t="str">
            <v>---</v>
          </cell>
          <cell r="K10">
            <v>10000</v>
          </cell>
        </row>
        <row r="11">
          <cell r="B11">
            <v>10000</v>
          </cell>
          <cell r="C11">
            <v>5</v>
          </cell>
          <cell r="D11">
            <v>16</v>
          </cell>
          <cell r="E11">
            <v>50</v>
          </cell>
          <cell r="F11">
            <v>160</v>
          </cell>
          <cell r="G11">
            <v>500</v>
          </cell>
          <cell r="H11" t="str">
            <v>---</v>
          </cell>
          <cell r="I11">
            <v>1600</v>
          </cell>
          <cell r="J11" t="str">
            <v>---</v>
          </cell>
          <cell r="K11">
            <v>5000</v>
          </cell>
        </row>
        <row r="12">
          <cell r="B12">
            <v>5000</v>
          </cell>
          <cell r="C12">
            <v>2.5</v>
          </cell>
          <cell r="D12">
            <v>8</v>
          </cell>
          <cell r="E12">
            <v>25</v>
          </cell>
          <cell r="F12">
            <v>80</v>
          </cell>
          <cell r="G12">
            <v>250</v>
          </cell>
          <cell r="H12" t="str">
            <v>---</v>
          </cell>
          <cell r="I12">
            <v>800</v>
          </cell>
          <cell r="J12" t="str">
            <v>---</v>
          </cell>
          <cell r="K12">
            <v>2500</v>
          </cell>
        </row>
        <row r="13">
          <cell r="B13">
            <v>2000</v>
          </cell>
          <cell r="C13">
            <v>1</v>
          </cell>
          <cell r="D13">
            <v>3</v>
          </cell>
          <cell r="E13">
            <v>10</v>
          </cell>
          <cell r="F13">
            <v>30</v>
          </cell>
          <cell r="G13">
            <v>100</v>
          </cell>
          <cell r="H13" t="str">
            <v>---</v>
          </cell>
          <cell r="I13">
            <v>300</v>
          </cell>
          <cell r="J13" t="str">
            <v>---</v>
          </cell>
          <cell r="K13">
            <v>1000</v>
          </cell>
        </row>
        <row r="14">
          <cell r="B14">
            <v>1000</v>
          </cell>
          <cell r="C14">
            <v>0.5</v>
          </cell>
          <cell r="D14">
            <v>1.6</v>
          </cell>
          <cell r="E14">
            <v>5</v>
          </cell>
          <cell r="F14">
            <v>16</v>
          </cell>
          <cell r="G14">
            <v>50</v>
          </cell>
          <cell r="H14" t="str">
            <v>---</v>
          </cell>
          <cell r="I14">
            <v>160</v>
          </cell>
          <cell r="J14" t="str">
            <v>---</v>
          </cell>
          <cell r="K14">
            <v>500</v>
          </cell>
        </row>
        <row r="15">
          <cell r="B15">
            <v>500</v>
          </cell>
          <cell r="C15">
            <v>0.25</v>
          </cell>
          <cell r="D15">
            <v>0.8</v>
          </cell>
          <cell r="E15">
            <v>2.5</v>
          </cell>
          <cell r="F15">
            <v>8</v>
          </cell>
          <cell r="G15">
            <v>25</v>
          </cell>
          <cell r="H15" t="str">
            <v>---</v>
          </cell>
          <cell r="I15">
            <v>80</v>
          </cell>
          <cell r="J15" t="str">
            <v>---</v>
          </cell>
          <cell r="K15">
            <v>250</v>
          </cell>
        </row>
        <row r="16">
          <cell r="B16">
            <v>200</v>
          </cell>
          <cell r="C16">
            <v>0.1</v>
          </cell>
          <cell r="D16">
            <v>0.3</v>
          </cell>
          <cell r="E16">
            <v>1</v>
          </cell>
          <cell r="F16">
            <v>3</v>
          </cell>
          <cell r="G16">
            <v>10</v>
          </cell>
          <cell r="H16" t="str">
            <v>---</v>
          </cell>
          <cell r="I16">
            <v>30</v>
          </cell>
          <cell r="J16" t="str">
            <v>---</v>
          </cell>
          <cell r="K16">
            <v>100</v>
          </cell>
        </row>
        <row r="17">
          <cell r="B17">
            <v>100</v>
          </cell>
          <cell r="C17">
            <v>0.05</v>
          </cell>
          <cell r="D17">
            <v>0.16</v>
          </cell>
          <cell r="E17">
            <v>0.5</v>
          </cell>
          <cell r="F17">
            <v>1.6</v>
          </cell>
          <cell r="G17">
            <v>5</v>
          </cell>
          <cell r="H17" t="str">
            <v>---</v>
          </cell>
          <cell r="I17">
            <v>16</v>
          </cell>
          <cell r="J17" t="str">
            <v>---</v>
          </cell>
          <cell r="K17">
            <v>50</v>
          </cell>
        </row>
        <row r="18">
          <cell r="B18">
            <v>50</v>
          </cell>
          <cell r="C18">
            <v>0.03</v>
          </cell>
          <cell r="D18">
            <v>0.1</v>
          </cell>
          <cell r="E18">
            <v>0.3</v>
          </cell>
          <cell r="F18">
            <v>1</v>
          </cell>
          <cell r="G18">
            <v>3</v>
          </cell>
          <cell r="H18" t="str">
            <v>---</v>
          </cell>
          <cell r="I18">
            <v>10</v>
          </cell>
          <cell r="J18" t="str">
            <v>---</v>
          </cell>
          <cell r="K18">
            <v>30</v>
          </cell>
        </row>
        <row r="19">
          <cell r="B19">
            <v>20</v>
          </cell>
          <cell r="C19">
            <v>2.5000000000000001E-2</v>
          </cell>
          <cell r="D19">
            <v>0.08</v>
          </cell>
          <cell r="E19">
            <v>0.25</v>
          </cell>
          <cell r="F19">
            <v>0.8</v>
          </cell>
          <cell r="G19">
            <v>2.5</v>
          </cell>
          <cell r="H19" t="str">
            <v>---</v>
          </cell>
          <cell r="I19">
            <v>8</v>
          </cell>
          <cell r="J19" t="str">
            <v>---</v>
          </cell>
          <cell r="K19">
            <v>25</v>
          </cell>
        </row>
        <row r="20">
          <cell r="B20">
            <v>10</v>
          </cell>
          <cell r="C20">
            <v>0.02</v>
          </cell>
          <cell r="D20">
            <v>0.06</v>
          </cell>
          <cell r="E20">
            <v>0.2</v>
          </cell>
          <cell r="F20">
            <v>0.6</v>
          </cell>
          <cell r="G20">
            <v>2</v>
          </cell>
          <cell r="H20" t="str">
            <v>---</v>
          </cell>
          <cell r="I20">
            <v>6</v>
          </cell>
          <cell r="J20" t="str">
            <v>---</v>
          </cell>
          <cell r="K20">
            <v>20</v>
          </cell>
        </row>
        <row r="21">
          <cell r="B21">
            <v>5</v>
          </cell>
          <cell r="C21">
            <v>1.6E-2</v>
          </cell>
          <cell r="D21">
            <v>0.05</v>
          </cell>
          <cell r="E21">
            <v>0.16</v>
          </cell>
          <cell r="F21">
            <v>0.5</v>
          </cell>
          <cell r="G21">
            <v>1.6</v>
          </cell>
          <cell r="H21" t="str">
            <v>---</v>
          </cell>
          <cell r="I21">
            <v>5</v>
          </cell>
          <cell r="J21" t="str">
            <v>---</v>
          </cell>
          <cell r="K21">
            <v>16</v>
          </cell>
        </row>
        <row r="22">
          <cell r="B22">
            <v>2</v>
          </cell>
          <cell r="C22">
            <v>1.2E-2</v>
          </cell>
          <cell r="D22">
            <v>0.04</v>
          </cell>
          <cell r="E22">
            <v>0.12</v>
          </cell>
          <cell r="F22">
            <v>0.4</v>
          </cell>
          <cell r="G22">
            <v>1.2</v>
          </cell>
          <cell r="H22" t="str">
            <v>---</v>
          </cell>
          <cell r="I22">
            <v>4</v>
          </cell>
          <cell r="J22" t="str">
            <v>---</v>
          </cell>
          <cell r="K22">
            <v>12</v>
          </cell>
        </row>
        <row r="23">
          <cell r="B23">
            <v>1</v>
          </cell>
          <cell r="C23">
            <v>0.01</v>
          </cell>
          <cell r="D23">
            <v>0.03</v>
          </cell>
          <cell r="E23">
            <v>0.1</v>
          </cell>
          <cell r="F23">
            <v>0.3</v>
          </cell>
          <cell r="G23">
            <v>1</v>
          </cell>
          <cell r="H23" t="str">
            <v>---</v>
          </cell>
          <cell r="I23">
            <v>3</v>
          </cell>
          <cell r="J23" t="str">
            <v>---</v>
          </cell>
          <cell r="K23">
            <v>10</v>
          </cell>
        </row>
        <row r="24">
          <cell r="B24">
            <v>0.5</v>
          </cell>
          <cell r="C24">
            <v>8.0000000000000002E-3</v>
          </cell>
          <cell r="D24">
            <v>2.5000000000000001E-2</v>
          </cell>
          <cell r="E24">
            <v>0.08</v>
          </cell>
          <cell r="F24">
            <v>0.25</v>
          </cell>
          <cell r="G24">
            <v>0.8</v>
          </cell>
          <cell r="H24" t="str">
            <v>---</v>
          </cell>
          <cell r="I24">
            <v>2.5</v>
          </cell>
          <cell r="J24" t="str">
            <v>---</v>
          </cell>
          <cell r="K24" t="str">
            <v>---</v>
          </cell>
        </row>
        <row r="25">
          <cell r="B25">
            <v>0.2</v>
          </cell>
          <cell r="C25">
            <v>6.0000000000000001E-3</v>
          </cell>
          <cell r="D25">
            <v>0.02</v>
          </cell>
          <cell r="E25">
            <v>0.06</v>
          </cell>
          <cell r="F25">
            <v>0.2</v>
          </cell>
          <cell r="G25">
            <v>0.6</v>
          </cell>
          <cell r="H25" t="str">
            <v>---</v>
          </cell>
          <cell r="I25">
            <v>2</v>
          </cell>
          <cell r="J25" t="str">
            <v>---</v>
          </cell>
          <cell r="K25" t="str">
            <v>---</v>
          </cell>
        </row>
        <row r="26">
          <cell r="B26">
            <v>0.1</v>
          </cell>
          <cell r="C26">
            <v>5.0000000000000001E-3</v>
          </cell>
          <cell r="D26">
            <v>1.6E-2</v>
          </cell>
          <cell r="E26">
            <v>0.05</v>
          </cell>
          <cell r="F26">
            <v>0.16</v>
          </cell>
          <cell r="G26">
            <v>0.5</v>
          </cell>
          <cell r="H26" t="str">
            <v>---</v>
          </cell>
          <cell r="I26">
            <v>1.6</v>
          </cell>
          <cell r="J26" t="str">
            <v>---</v>
          </cell>
          <cell r="K26" t="str">
            <v>---</v>
          </cell>
        </row>
        <row r="27">
          <cell r="B27">
            <v>0.05</v>
          </cell>
          <cell r="C27">
            <v>4.0000000000000001E-3</v>
          </cell>
          <cell r="D27">
            <v>1.2E-2</v>
          </cell>
          <cell r="E27">
            <v>0.04</v>
          </cell>
          <cell r="F27">
            <v>0.12</v>
          </cell>
          <cell r="G27">
            <v>0.4</v>
          </cell>
          <cell r="H27" t="str">
            <v>---</v>
          </cell>
          <cell r="J27" t="str">
            <v>---</v>
          </cell>
          <cell r="K27" t="str">
            <v>---</v>
          </cell>
        </row>
        <row r="28">
          <cell r="B28">
            <v>0.02</v>
          </cell>
          <cell r="C28">
            <v>3.0000000000000001E-3</v>
          </cell>
          <cell r="D28">
            <v>0.01</v>
          </cell>
          <cell r="E28">
            <v>0.03</v>
          </cell>
          <cell r="F28">
            <v>0.1</v>
          </cell>
          <cell r="G28">
            <v>0.3</v>
          </cell>
          <cell r="H28" t="str">
            <v>---</v>
          </cell>
          <cell r="I28" t="str">
            <v>---</v>
          </cell>
          <cell r="J28" t="str">
            <v>---</v>
          </cell>
          <cell r="K28" t="str">
            <v>---</v>
          </cell>
        </row>
        <row r="29">
          <cell r="B29">
            <v>0.01</v>
          </cell>
          <cell r="C29">
            <v>3.0000000000000001E-3</v>
          </cell>
          <cell r="D29">
            <v>8.0000000000000002E-3</v>
          </cell>
          <cell r="E29">
            <v>2.5000000000000001E-2</v>
          </cell>
          <cell r="F29">
            <v>0.08</v>
          </cell>
          <cell r="G29">
            <v>0.25</v>
          </cell>
          <cell r="H29" t="str">
            <v>---</v>
          </cell>
          <cell r="I29" t="str">
            <v>---</v>
          </cell>
          <cell r="J29" t="str">
            <v>---</v>
          </cell>
          <cell r="K29" t="str">
            <v>---</v>
          </cell>
        </row>
        <row r="30">
          <cell r="B30">
            <v>5.0000000000000001E-3</v>
          </cell>
          <cell r="C30">
            <v>3.0000000000000001E-3</v>
          </cell>
          <cell r="D30">
            <v>6.0000000000000001E-3</v>
          </cell>
          <cell r="E30">
            <v>0.02</v>
          </cell>
          <cell r="F30">
            <v>0.06</v>
          </cell>
          <cell r="G30">
            <v>0.2</v>
          </cell>
          <cell r="H30" t="str">
            <v>---</v>
          </cell>
          <cell r="I30" t="str">
            <v>---</v>
          </cell>
          <cell r="J30" t="str">
            <v>---</v>
          </cell>
          <cell r="K30" t="str">
            <v>---</v>
          </cell>
        </row>
        <row r="31">
          <cell r="B31">
            <v>2E-3</v>
          </cell>
          <cell r="C31">
            <v>3.0000000000000001E-3</v>
          </cell>
          <cell r="D31">
            <v>6.0000000000000001E-3</v>
          </cell>
          <cell r="E31">
            <v>0.02</v>
          </cell>
          <cell r="F31">
            <v>0.06</v>
          </cell>
          <cell r="G31">
            <v>0.2</v>
          </cell>
          <cell r="H31" t="str">
            <v>---</v>
          </cell>
          <cell r="I31" t="str">
            <v>---</v>
          </cell>
          <cell r="J31" t="str">
            <v>---</v>
          </cell>
          <cell r="K31" t="str">
            <v>---</v>
          </cell>
        </row>
        <row r="32">
          <cell r="B32">
            <v>1E-3</v>
          </cell>
          <cell r="C32">
            <v>3.0000000000000001E-3</v>
          </cell>
          <cell r="D32">
            <v>6.0000000000000001E-3</v>
          </cell>
          <cell r="E32">
            <v>0.02</v>
          </cell>
          <cell r="F32">
            <v>0.06</v>
          </cell>
          <cell r="G32">
            <v>0.2</v>
          </cell>
          <cell r="H32" t="str">
            <v>---</v>
          </cell>
          <cell r="I32" t="str">
            <v>---</v>
          </cell>
          <cell r="J32" t="str">
            <v>---</v>
          </cell>
          <cell r="K32" t="str">
            <v>---</v>
          </cell>
        </row>
      </sheetData>
      <sheetData sheetId="6">
        <row r="3">
          <cell r="B3">
            <v>5000000</v>
          </cell>
          <cell r="C3" t="str">
            <v>---</v>
          </cell>
          <cell r="D3" t="str">
            <v>---</v>
          </cell>
          <cell r="E3" t="str">
            <v>---</v>
          </cell>
          <cell r="F3" t="str">
            <v>---</v>
          </cell>
          <cell r="G3">
            <v>25000</v>
          </cell>
          <cell r="H3">
            <v>50000</v>
          </cell>
          <cell r="I3">
            <v>100000</v>
          </cell>
          <cell r="J3">
            <v>250000</v>
          </cell>
          <cell r="K3">
            <v>500000</v>
          </cell>
          <cell r="L3">
            <v>750000</v>
          </cell>
        </row>
        <row r="4">
          <cell r="B4">
            <v>3000000</v>
          </cell>
          <cell r="C4" t="str">
            <v>---</v>
          </cell>
          <cell r="D4" t="str">
            <v>---</v>
          </cell>
          <cell r="E4" t="str">
            <v>---</v>
          </cell>
          <cell r="F4" t="str">
            <v>---</v>
          </cell>
          <cell r="G4">
            <v>15000</v>
          </cell>
          <cell r="H4">
            <v>30000</v>
          </cell>
          <cell r="I4">
            <v>60000</v>
          </cell>
          <cell r="J4">
            <v>150000</v>
          </cell>
          <cell r="K4">
            <v>300000</v>
          </cell>
          <cell r="L4">
            <v>450000</v>
          </cell>
        </row>
        <row r="5">
          <cell r="B5">
            <v>2000000</v>
          </cell>
          <cell r="C5" t="str">
            <v>---</v>
          </cell>
          <cell r="D5" t="str">
            <v>---</v>
          </cell>
          <cell r="E5" t="str">
            <v>---</v>
          </cell>
          <cell r="F5" t="str">
            <v>---</v>
          </cell>
          <cell r="G5">
            <v>10000</v>
          </cell>
          <cell r="H5">
            <v>20000</v>
          </cell>
          <cell r="I5">
            <v>40000</v>
          </cell>
          <cell r="J5">
            <v>100000</v>
          </cell>
          <cell r="K5">
            <v>200000</v>
          </cell>
          <cell r="L5">
            <v>300000</v>
          </cell>
        </row>
        <row r="6">
          <cell r="B6">
            <v>1000000</v>
          </cell>
          <cell r="C6" t="str">
            <v>---</v>
          </cell>
          <cell r="D6" t="str">
            <v>---</v>
          </cell>
          <cell r="E6" t="str">
            <v>---</v>
          </cell>
          <cell r="F6" t="str">
            <v>---</v>
          </cell>
          <cell r="G6">
            <v>5000</v>
          </cell>
          <cell r="H6">
            <v>10000</v>
          </cell>
          <cell r="I6">
            <v>20000</v>
          </cell>
          <cell r="J6">
            <v>50000</v>
          </cell>
          <cell r="K6">
            <v>100000</v>
          </cell>
          <cell r="L6">
            <v>150000</v>
          </cell>
        </row>
        <row r="7">
          <cell r="B7">
            <v>500000</v>
          </cell>
          <cell r="C7" t="str">
            <v>---</v>
          </cell>
          <cell r="D7" t="str">
            <v>---</v>
          </cell>
          <cell r="E7" t="str">
            <v>---</v>
          </cell>
          <cell r="F7" t="str">
            <v>---</v>
          </cell>
          <cell r="G7">
            <v>2500</v>
          </cell>
          <cell r="H7">
            <v>5000</v>
          </cell>
          <cell r="I7">
            <v>10000</v>
          </cell>
          <cell r="J7">
            <v>25000</v>
          </cell>
          <cell r="K7">
            <v>50000</v>
          </cell>
          <cell r="L7">
            <v>75000</v>
          </cell>
        </row>
        <row r="8">
          <cell r="B8">
            <v>300000</v>
          </cell>
          <cell r="C8" t="str">
            <v>---</v>
          </cell>
          <cell r="D8" t="str">
            <v>---</v>
          </cell>
          <cell r="E8" t="str">
            <v>---</v>
          </cell>
          <cell r="F8" t="str">
            <v>---</v>
          </cell>
          <cell r="G8">
            <v>1500</v>
          </cell>
          <cell r="H8">
            <v>3000</v>
          </cell>
          <cell r="I8">
            <v>6000</v>
          </cell>
          <cell r="J8">
            <v>15000</v>
          </cell>
          <cell r="K8">
            <v>30000</v>
          </cell>
          <cell r="L8">
            <v>45000</v>
          </cell>
        </row>
        <row r="9">
          <cell r="B9">
            <v>200000</v>
          </cell>
          <cell r="C9" t="str">
            <v>---</v>
          </cell>
          <cell r="D9" t="str">
            <v>---</v>
          </cell>
          <cell r="E9" t="str">
            <v>---</v>
          </cell>
          <cell r="F9" t="str">
            <v>---</v>
          </cell>
          <cell r="G9">
            <v>1000</v>
          </cell>
          <cell r="H9">
            <v>2000</v>
          </cell>
          <cell r="I9">
            <v>4000</v>
          </cell>
          <cell r="J9">
            <v>10000</v>
          </cell>
          <cell r="K9">
            <v>20000</v>
          </cell>
          <cell r="L9">
            <v>30000</v>
          </cell>
        </row>
        <row r="10">
          <cell r="B10">
            <v>100000</v>
          </cell>
          <cell r="C10" t="str">
            <v>---</v>
          </cell>
          <cell r="D10" t="str">
            <v>---</v>
          </cell>
          <cell r="E10" t="str">
            <v>---</v>
          </cell>
          <cell r="F10" t="str">
            <v>---</v>
          </cell>
          <cell r="G10">
            <v>500</v>
          </cell>
          <cell r="H10">
            <v>1000</v>
          </cell>
          <cell r="I10">
            <v>2000</v>
          </cell>
          <cell r="J10">
            <v>5000</v>
          </cell>
          <cell r="K10">
            <v>10000</v>
          </cell>
          <cell r="L10">
            <v>15000</v>
          </cell>
        </row>
        <row r="11">
          <cell r="B11">
            <v>50000</v>
          </cell>
          <cell r="C11">
            <v>13</v>
          </cell>
          <cell r="D11">
            <v>25</v>
          </cell>
          <cell r="E11">
            <v>63</v>
          </cell>
          <cell r="F11">
            <v>125</v>
          </cell>
          <cell r="G11">
            <v>250</v>
          </cell>
          <cell r="H11">
            <v>500</v>
          </cell>
          <cell r="I11">
            <v>1000</v>
          </cell>
          <cell r="J11">
            <v>2500</v>
          </cell>
          <cell r="K11">
            <v>5000</v>
          </cell>
          <cell r="L11">
            <v>7500</v>
          </cell>
        </row>
        <row r="12">
          <cell r="B12">
            <v>30000</v>
          </cell>
          <cell r="C12">
            <v>7.5</v>
          </cell>
          <cell r="D12">
            <v>15</v>
          </cell>
          <cell r="E12">
            <v>38</v>
          </cell>
          <cell r="F12">
            <v>75</v>
          </cell>
          <cell r="G12">
            <v>150</v>
          </cell>
          <cell r="H12">
            <v>300</v>
          </cell>
          <cell r="I12">
            <v>600</v>
          </cell>
          <cell r="J12">
            <v>1500</v>
          </cell>
          <cell r="K12">
            <v>3000</v>
          </cell>
          <cell r="L12">
            <v>4500</v>
          </cell>
        </row>
        <row r="13">
          <cell r="B13">
            <v>25000</v>
          </cell>
          <cell r="C13">
            <v>6.25</v>
          </cell>
          <cell r="D13">
            <v>12.5</v>
          </cell>
          <cell r="E13">
            <v>31</v>
          </cell>
          <cell r="F13">
            <v>62</v>
          </cell>
          <cell r="G13">
            <v>125</v>
          </cell>
          <cell r="H13">
            <v>250</v>
          </cell>
          <cell r="I13">
            <v>500</v>
          </cell>
          <cell r="J13">
            <v>1200</v>
          </cell>
          <cell r="K13">
            <v>2500</v>
          </cell>
          <cell r="L13">
            <v>4500</v>
          </cell>
        </row>
        <row r="14">
          <cell r="B14">
            <v>20000</v>
          </cell>
          <cell r="C14">
            <v>5</v>
          </cell>
          <cell r="D14">
            <v>10</v>
          </cell>
          <cell r="E14">
            <v>25</v>
          </cell>
          <cell r="F14">
            <v>50</v>
          </cell>
          <cell r="G14">
            <v>100</v>
          </cell>
          <cell r="H14">
            <v>200</v>
          </cell>
          <cell r="I14">
            <v>400</v>
          </cell>
          <cell r="J14">
            <v>1000</v>
          </cell>
          <cell r="K14">
            <v>2000</v>
          </cell>
          <cell r="L14">
            <v>3800</v>
          </cell>
        </row>
        <row r="15">
          <cell r="B15">
            <v>10000</v>
          </cell>
          <cell r="C15">
            <v>2.5</v>
          </cell>
          <cell r="D15">
            <v>5</v>
          </cell>
          <cell r="E15">
            <v>13</v>
          </cell>
          <cell r="F15">
            <v>25</v>
          </cell>
          <cell r="G15">
            <v>50</v>
          </cell>
          <cell r="H15">
            <v>100</v>
          </cell>
          <cell r="I15">
            <v>200</v>
          </cell>
          <cell r="J15">
            <v>500</v>
          </cell>
          <cell r="K15">
            <v>1000</v>
          </cell>
          <cell r="L15">
            <v>2200</v>
          </cell>
        </row>
        <row r="16">
          <cell r="B16">
            <v>5000</v>
          </cell>
          <cell r="C16">
            <v>1.3</v>
          </cell>
          <cell r="D16">
            <v>2.5</v>
          </cell>
          <cell r="E16">
            <v>6</v>
          </cell>
          <cell r="F16">
            <v>12</v>
          </cell>
          <cell r="G16">
            <v>25</v>
          </cell>
          <cell r="H16">
            <v>50</v>
          </cell>
          <cell r="I16">
            <v>100</v>
          </cell>
          <cell r="J16">
            <v>250</v>
          </cell>
          <cell r="K16">
            <v>500</v>
          </cell>
          <cell r="L16">
            <v>1400</v>
          </cell>
        </row>
        <row r="17">
          <cell r="B17">
            <v>3000</v>
          </cell>
          <cell r="C17">
            <v>0.75</v>
          </cell>
          <cell r="D17">
            <v>1.5</v>
          </cell>
          <cell r="E17">
            <v>3.8</v>
          </cell>
          <cell r="F17">
            <v>7.5</v>
          </cell>
          <cell r="G17">
            <v>15</v>
          </cell>
          <cell r="H17">
            <v>30</v>
          </cell>
          <cell r="I17">
            <v>60</v>
          </cell>
          <cell r="J17">
            <v>150</v>
          </cell>
          <cell r="K17">
            <v>300</v>
          </cell>
          <cell r="L17">
            <v>1000</v>
          </cell>
        </row>
        <row r="18">
          <cell r="B18">
            <v>2000</v>
          </cell>
          <cell r="C18">
            <v>0.5</v>
          </cell>
          <cell r="D18">
            <v>1</v>
          </cell>
          <cell r="E18">
            <v>2.5</v>
          </cell>
          <cell r="F18">
            <v>5</v>
          </cell>
          <cell r="G18">
            <v>10</v>
          </cell>
          <cell r="H18">
            <v>20</v>
          </cell>
          <cell r="I18">
            <v>40</v>
          </cell>
          <cell r="J18">
            <v>100</v>
          </cell>
          <cell r="K18">
            <v>200</v>
          </cell>
          <cell r="L18">
            <v>750</v>
          </cell>
        </row>
        <row r="19">
          <cell r="B19">
            <v>1000</v>
          </cell>
          <cell r="C19">
            <v>0.25</v>
          </cell>
          <cell r="D19">
            <v>0.5</v>
          </cell>
          <cell r="E19">
            <v>1.3</v>
          </cell>
          <cell r="F19">
            <v>2.5</v>
          </cell>
          <cell r="G19">
            <v>5</v>
          </cell>
          <cell r="H19">
            <v>10</v>
          </cell>
          <cell r="I19">
            <v>20</v>
          </cell>
          <cell r="J19">
            <v>50</v>
          </cell>
          <cell r="K19">
            <v>100</v>
          </cell>
          <cell r="L19">
            <v>470</v>
          </cell>
        </row>
        <row r="20">
          <cell r="B20">
            <v>500</v>
          </cell>
          <cell r="C20">
            <v>0.13</v>
          </cell>
          <cell r="D20">
            <v>0.25</v>
          </cell>
          <cell r="E20">
            <v>0.6</v>
          </cell>
          <cell r="F20">
            <v>1.2</v>
          </cell>
          <cell r="G20">
            <v>2.5</v>
          </cell>
          <cell r="H20">
            <v>5</v>
          </cell>
          <cell r="I20">
            <v>10</v>
          </cell>
          <cell r="J20">
            <v>30</v>
          </cell>
          <cell r="K20">
            <v>50</v>
          </cell>
          <cell r="L20">
            <v>300</v>
          </cell>
        </row>
        <row r="21">
          <cell r="B21">
            <v>300</v>
          </cell>
          <cell r="C21">
            <v>7.4999999999999997E-2</v>
          </cell>
          <cell r="D21">
            <v>0.15</v>
          </cell>
          <cell r="E21">
            <v>0.38</v>
          </cell>
          <cell r="F21">
            <v>0.75</v>
          </cell>
          <cell r="G21">
            <v>1.5</v>
          </cell>
          <cell r="H21">
            <v>3</v>
          </cell>
          <cell r="I21">
            <v>6</v>
          </cell>
          <cell r="J21">
            <v>20</v>
          </cell>
          <cell r="K21">
            <v>30</v>
          </cell>
          <cell r="L21">
            <v>210</v>
          </cell>
        </row>
        <row r="22">
          <cell r="B22">
            <v>200</v>
          </cell>
          <cell r="C22">
            <v>0.05</v>
          </cell>
          <cell r="D22">
            <v>0.1</v>
          </cell>
          <cell r="E22">
            <v>0.25</v>
          </cell>
          <cell r="F22">
            <v>0.5</v>
          </cell>
          <cell r="G22">
            <v>1</v>
          </cell>
          <cell r="H22">
            <v>2</v>
          </cell>
          <cell r="I22">
            <v>4</v>
          </cell>
          <cell r="J22">
            <v>15</v>
          </cell>
          <cell r="K22">
            <v>20</v>
          </cell>
          <cell r="L22">
            <v>160</v>
          </cell>
        </row>
        <row r="23">
          <cell r="B23">
            <v>100</v>
          </cell>
          <cell r="C23">
            <v>2.5000000000000001E-2</v>
          </cell>
          <cell r="D23">
            <v>0.05</v>
          </cell>
          <cell r="E23">
            <v>0.13</v>
          </cell>
          <cell r="F23">
            <v>0.25</v>
          </cell>
          <cell r="G23">
            <v>0.5</v>
          </cell>
          <cell r="H23">
            <v>1</v>
          </cell>
          <cell r="I23">
            <v>2</v>
          </cell>
          <cell r="J23">
            <v>9</v>
          </cell>
          <cell r="K23">
            <v>10</v>
          </cell>
          <cell r="L23">
            <v>100</v>
          </cell>
        </row>
        <row r="24">
          <cell r="B24">
            <v>50</v>
          </cell>
          <cell r="C24">
            <v>1.4999999999999999E-2</v>
          </cell>
          <cell r="D24">
            <v>0.03</v>
          </cell>
          <cell r="E24">
            <v>0.06</v>
          </cell>
          <cell r="F24">
            <v>0.12</v>
          </cell>
          <cell r="G24">
            <v>0.25</v>
          </cell>
          <cell r="H24">
            <v>0.6</v>
          </cell>
          <cell r="I24">
            <v>1.2</v>
          </cell>
          <cell r="J24">
            <v>5.6</v>
          </cell>
          <cell r="K24">
            <v>7</v>
          </cell>
          <cell r="L24">
            <v>62</v>
          </cell>
        </row>
        <row r="25">
          <cell r="B25">
            <v>30</v>
          </cell>
          <cell r="C25">
            <v>1.4E-2</v>
          </cell>
          <cell r="D25">
            <v>2.5999999999999999E-2</v>
          </cell>
          <cell r="E25">
            <v>3.6999999999999998E-2</v>
          </cell>
          <cell r="F25">
            <v>7.3999999999999996E-2</v>
          </cell>
          <cell r="G25">
            <v>0.15</v>
          </cell>
          <cell r="H25">
            <v>0.45</v>
          </cell>
          <cell r="I25">
            <v>0.9</v>
          </cell>
          <cell r="J25">
            <v>4</v>
          </cell>
          <cell r="K25">
            <v>5</v>
          </cell>
          <cell r="L25">
            <v>44</v>
          </cell>
        </row>
        <row r="26">
          <cell r="B26">
            <v>20</v>
          </cell>
          <cell r="C26">
            <v>1.2999999999999999E-2</v>
          </cell>
          <cell r="D26">
            <v>2.5000000000000001E-2</v>
          </cell>
          <cell r="E26">
            <v>3.6999999999999998E-2</v>
          </cell>
          <cell r="F26">
            <v>7.3999999999999996E-2</v>
          </cell>
          <cell r="G26">
            <v>0.1</v>
          </cell>
          <cell r="H26">
            <v>0.35</v>
          </cell>
          <cell r="I26">
            <v>0.7</v>
          </cell>
          <cell r="J26">
            <v>3</v>
          </cell>
          <cell r="K26">
            <v>3</v>
          </cell>
          <cell r="L26">
            <v>33</v>
          </cell>
        </row>
        <row r="27">
          <cell r="B27">
            <v>10</v>
          </cell>
          <cell r="C27">
            <v>0.01</v>
          </cell>
          <cell r="D27">
            <v>0.02</v>
          </cell>
          <cell r="E27">
            <v>2.5000000000000001E-2</v>
          </cell>
          <cell r="F27">
            <v>0.05</v>
          </cell>
          <cell r="G27">
            <v>7.3999999999999996E-2</v>
          </cell>
          <cell r="H27">
            <v>0.25</v>
          </cell>
          <cell r="I27">
            <v>0.5</v>
          </cell>
          <cell r="J27">
            <v>2</v>
          </cell>
          <cell r="K27">
            <v>2</v>
          </cell>
          <cell r="L27">
            <v>21</v>
          </cell>
        </row>
        <row r="28">
          <cell r="B28">
            <v>5</v>
          </cell>
          <cell r="C28">
            <v>5.0000000000000001E-3</v>
          </cell>
          <cell r="D28">
            <v>0.01</v>
          </cell>
          <cell r="E28">
            <v>1.7000000000000001E-2</v>
          </cell>
          <cell r="F28">
            <v>3.4000000000000002E-2</v>
          </cell>
          <cell r="G28">
            <v>5.3999999999999999E-2</v>
          </cell>
          <cell r="H28">
            <v>0.18</v>
          </cell>
          <cell r="I28">
            <v>0.36</v>
          </cell>
          <cell r="J28">
            <v>1.3</v>
          </cell>
          <cell r="K28">
            <v>2</v>
          </cell>
          <cell r="L28">
            <v>13</v>
          </cell>
        </row>
        <row r="29">
          <cell r="B29">
            <v>3</v>
          </cell>
          <cell r="C29">
            <v>5.0000000000000001E-3</v>
          </cell>
          <cell r="D29">
            <v>0.01</v>
          </cell>
          <cell r="E29">
            <v>1.7000000000000001E-2</v>
          </cell>
          <cell r="F29">
            <v>3.4000000000000002E-2</v>
          </cell>
          <cell r="G29">
            <v>5.3999999999999999E-2</v>
          </cell>
          <cell r="H29">
            <v>0.15</v>
          </cell>
          <cell r="I29">
            <v>0.3</v>
          </cell>
          <cell r="J29">
            <v>0.95</v>
          </cell>
          <cell r="K29">
            <v>2</v>
          </cell>
          <cell r="L29">
            <v>9.4</v>
          </cell>
        </row>
        <row r="30">
          <cell r="B30">
            <v>2</v>
          </cell>
          <cell r="C30">
            <v>5.0000000000000001E-3</v>
          </cell>
          <cell r="D30">
            <v>0.01</v>
          </cell>
          <cell r="E30">
            <v>1.7000000000000001E-2</v>
          </cell>
          <cell r="F30">
            <v>3.4000000000000002E-2</v>
          </cell>
          <cell r="G30">
            <v>5.3999999999999999E-2</v>
          </cell>
          <cell r="H30">
            <v>0.13</v>
          </cell>
          <cell r="I30">
            <v>0.26</v>
          </cell>
          <cell r="J30">
            <v>0.75</v>
          </cell>
          <cell r="K30">
            <v>2</v>
          </cell>
          <cell r="L30">
            <v>7</v>
          </cell>
        </row>
        <row r="31">
          <cell r="B31">
            <v>1</v>
          </cell>
          <cell r="C31">
            <v>5.0000000000000001E-3</v>
          </cell>
          <cell r="D31">
            <v>0.01</v>
          </cell>
          <cell r="E31">
            <v>1.7000000000000001E-2</v>
          </cell>
          <cell r="F31">
            <v>3.4000000000000002E-2</v>
          </cell>
          <cell r="G31">
            <v>5.3999999999999999E-2</v>
          </cell>
          <cell r="H31">
            <v>0.1</v>
          </cell>
          <cell r="I31">
            <v>0.2</v>
          </cell>
          <cell r="J31">
            <v>0.5</v>
          </cell>
          <cell r="K31">
            <v>2</v>
          </cell>
          <cell r="L31">
            <v>4.5</v>
          </cell>
        </row>
        <row r="32">
          <cell r="B32">
            <v>0.5</v>
          </cell>
          <cell r="C32">
            <v>2E-3</v>
          </cell>
          <cell r="D32">
            <v>3.0000000000000001E-3</v>
          </cell>
          <cell r="E32">
            <v>5.0000000000000001E-3</v>
          </cell>
          <cell r="F32">
            <v>0.01</v>
          </cell>
          <cell r="G32">
            <v>2.5000000000000001E-2</v>
          </cell>
          <cell r="H32">
            <v>0.08</v>
          </cell>
          <cell r="I32">
            <v>0.16</v>
          </cell>
          <cell r="J32">
            <v>0.38</v>
          </cell>
          <cell r="K32">
            <v>1</v>
          </cell>
          <cell r="L32">
            <v>3</v>
          </cell>
        </row>
        <row r="33">
          <cell r="B33">
            <v>0.3</v>
          </cell>
          <cell r="C33">
            <v>2E-3</v>
          </cell>
          <cell r="D33">
            <v>3.0000000000000001E-3</v>
          </cell>
          <cell r="E33">
            <v>5.0000000000000001E-3</v>
          </cell>
          <cell r="F33">
            <v>0.01</v>
          </cell>
          <cell r="G33">
            <v>2.5000000000000001E-2</v>
          </cell>
          <cell r="H33">
            <v>7.0000000000000007E-2</v>
          </cell>
          <cell r="I33">
            <v>0.14000000000000001</v>
          </cell>
          <cell r="J33">
            <v>0.3</v>
          </cell>
          <cell r="K33">
            <v>1</v>
          </cell>
          <cell r="L33">
            <v>2.2000000000000002</v>
          </cell>
        </row>
        <row r="34">
          <cell r="B34">
            <v>0.2</v>
          </cell>
          <cell r="C34">
            <v>2E-3</v>
          </cell>
          <cell r="D34">
            <v>3.0000000000000001E-3</v>
          </cell>
          <cell r="E34">
            <v>5.0000000000000001E-3</v>
          </cell>
          <cell r="F34">
            <v>0.01</v>
          </cell>
          <cell r="G34">
            <v>2.5000000000000001E-2</v>
          </cell>
          <cell r="H34">
            <v>0.06</v>
          </cell>
          <cell r="I34">
            <v>0.12</v>
          </cell>
          <cell r="J34">
            <v>0.26</v>
          </cell>
          <cell r="K34">
            <v>1</v>
          </cell>
          <cell r="L34">
            <v>1.8</v>
          </cell>
        </row>
        <row r="35">
          <cell r="B35">
            <v>0.1</v>
          </cell>
          <cell r="C35">
            <v>2E-3</v>
          </cell>
          <cell r="D35">
            <v>3.0000000000000001E-3</v>
          </cell>
          <cell r="E35">
            <v>5.0000000000000001E-3</v>
          </cell>
          <cell r="F35">
            <v>0.01</v>
          </cell>
          <cell r="G35">
            <v>2.5000000000000001E-2</v>
          </cell>
          <cell r="H35">
            <v>0.05</v>
          </cell>
          <cell r="I35">
            <v>0.1</v>
          </cell>
          <cell r="J35">
            <v>0.2</v>
          </cell>
          <cell r="K35">
            <v>1</v>
          </cell>
          <cell r="L35">
            <v>1.2</v>
          </cell>
        </row>
        <row r="36">
          <cell r="B36">
            <v>0.05</v>
          </cell>
          <cell r="C36">
            <v>2E-3</v>
          </cell>
          <cell r="D36">
            <v>3.0000000000000001E-3</v>
          </cell>
          <cell r="E36">
            <v>5.0000000000000001E-3</v>
          </cell>
          <cell r="F36">
            <v>0.01</v>
          </cell>
          <cell r="G36">
            <v>1.4E-2</v>
          </cell>
          <cell r="H36">
            <v>4.2000000000000003E-2</v>
          </cell>
          <cell r="I36">
            <v>8.5000000000000006E-2</v>
          </cell>
          <cell r="J36">
            <v>0.16</v>
          </cell>
          <cell r="K36">
            <v>0.5</v>
          </cell>
          <cell r="L36">
            <v>0.88</v>
          </cell>
        </row>
        <row r="37">
          <cell r="B37">
            <v>0.03</v>
          </cell>
          <cell r="C37">
            <v>2E-3</v>
          </cell>
          <cell r="D37">
            <v>3.0000000000000001E-3</v>
          </cell>
          <cell r="E37">
            <v>5.0000000000000001E-3</v>
          </cell>
          <cell r="F37">
            <v>0.01</v>
          </cell>
          <cell r="G37">
            <v>1.4E-2</v>
          </cell>
          <cell r="H37">
            <v>3.7999999999999999E-2</v>
          </cell>
          <cell r="I37">
            <v>7.4999999999999997E-2</v>
          </cell>
          <cell r="J37">
            <v>0.14000000000000001</v>
          </cell>
          <cell r="K37">
            <v>0.5</v>
          </cell>
          <cell r="L37">
            <v>0.68</v>
          </cell>
        </row>
        <row r="38">
          <cell r="B38">
            <v>0.02</v>
          </cell>
          <cell r="C38">
            <v>2E-3</v>
          </cell>
          <cell r="D38">
            <v>3.0000000000000001E-3</v>
          </cell>
          <cell r="E38">
            <v>5.0000000000000001E-3</v>
          </cell>
          <cell r="F38">
            <v>0.01</v>
          </cell>
          <cell r="G38">
            <v>1.4E-2</v>
          </cell>
          <cell r="H38">
            <v>3.5000000000000003E-2</v>
          </cell>
          <cell r="I38">
            <v>7.0000000000000007E-2</v>
          </cell>
          <cell r="J38">
            <v>0.12</v>
          </cell>
          <cell r="K38">
            <v>0.5</v>
          </cell>
          <cell r="L38">
            <v>0.56000000000000005</v>
          </cell>
        </row>
        <row r="39">
          <cell r="B39">
            <v>0.01</v>
          </cell>
          <cell r="C39">
            <v>2E-3</v>
          </cell>
          <cell r="D39">
            <v>3.0000000000000001E-3</v>
          </cell>
          <cell r="E39">
            <v>5.0000000000000001E-3</v>
          </cell>
          <cell r="F39">
            <v>0.01</v>
          </cell>
          <cell r="G39">
            <v>1.4E-2</v>
          </cell>
          <cell r="H39">
            <v>0.03</v>
          </cell>
          <cell r="I39">
            <v>0.06</v>
          </cell>
          <cell r="J39">
            <v>0.1</v>
          </cell>
          <cell r="K39">
            <v>0.5</v>
          </cell>
          <cell r="L39">
            <v>0.4</v>
          </cell>
        </row>
        <row r="40">
          <cell r="B40">
            <v>5.0000000000000001E-3</v>
          </cell>
          <cell r="C40">
            <v>2E-3</v>
          </cell>
          <cell r="D40">
            <v>3.0000000000000001E-3</v>
          </cell>
          <cell r="E40">
            <v>5.0000000000000001E-3</v>
          </cell>
          <cell r="F40">
            <v>0.01</v>
          </cell>
          <cell r="G40">
            <v>1.4E-2</v>
          </cell>
          <cell r="H40">
            <v>2.8000000000000001E-2</v>
          </cell>
          <cell r="I40">
            <v>5.5E-2</v>
          </cell>
          <cell r="J40">
            <v>0.08</v>
          </cell>
          <cell r="K40">
            <v>0.2</v>
          </cell>
          <cell r="L40" t="str">
            <v>---</v>
          </cell>
        </row>
        <row r="41">
          <cell r="B41">
            <v>3.0000000000000001E-3</v>
          </cell>
          <cell r="C41">
            <v>2E-3</v>
          </cell>
          <cell r="D41">
            <v>3.0000000000000001E-3</v>
          </cell>
          <cell r="E41">
            <v>5.0000000000000001E-3</v>
          </cell>
          <cell r="F41">
            <v>0.01</v>
          </cell>
          <cell r="G41">
            <v>1.4E-2</v>
          </cell>
          <cell r="H41">
            <v>2.5999999999999999E-2</v>
          </cell>
          <cell r="I41">
            <v>5.1999999999999998E-2</v>
          </cell>
          <cell r="J41">
            <v>7.0000000000000007E-2</v>
          </cell>
          <cell r="K41">
            <v>0.2</v>
          </cell>
          <cell r="L41" t="str">
            <v>---</v>
          </cell>
        </row>
        <row r="42">
          <cell r="B42">
            <v>2E-3</v>
          </cell>
          <cell r="C42">
            <v>2E-3</v>
          </cell>
          <cell r="D42">
            <v>3.0000000000000001E-3</v>
          </cell>
          <cell r="E42">
            <v>5.0000000000000001E-3</v>
          </cell>
          <cell r="F42">
            <v>0.01</v>
          </cell>
          <cell r="G42">
            <v>1.4E-2</v>
          </cell>
          <cell r="H42">
            <v>2.5000000000000001E-2</v>
          </cell>
          <cell r="I42">
            <v>0.05</v>
          </cell>
          <cell r="J42">
            <v>0.06</v>
          </cell>
          <cell r="K42">
            <v>0.2</v>
          </cell>
          <cell r="L42" t="str">
            <v>---</v>
          </cell>
        </row>
        <row r="43">
          <cell r="B43">
            <v>1E-3</v>
          </cell>
          <cell r="C43">
            <v>2E-3</v>
          </cell>
          <cell r="D43">
            <v>3.0000000000000001E-3</v>
          </cell>
          <cell r="E43">
            <v>5.0000000000000001E-3</v>
          </cell>
          <cell r="F43">
            <v>0.01</v>
          </cell>
          <cell r="G43">
            <v>1.4E-2</v>
          </cell>
          <cell r="H43">
            <v>2.5000000000000001E-2</v>
          </cell>
          <cell r="I43">
            <v>0.05</v>
          </cell>
          <cell r="J43">
            <v>0.05</v>
          </cell>
          <cell r="K43">
            <v>0.1</v>
          </cell>
          <cell r="L43" t="str">
            <v>---</v>
          </cell>
        </row>
        <row r="44">
          <cell r="B44">
            <v>5.0000000000000001E-4</v>
          </cell>
          <cell r="C44">
            <v>2E-3</v>
          </cell>
          <cell r="D44">
            <v>3.0000000000000001E-3</v>
          </cell>
          <cell r="E44">
            <v>5.0000000000000001E-3</v>
          </cell>
          <cell r="F44">
            <v>0.01</v>
          </cell>
          <cell r="G44">
            <v>1.4E-2</v>
          </cell>
          <cell r="H44">
            <v>2.5000000000000001E-2</v>
          </cell>
          <cell r="I44">
            <v>0.05</v>
          </cell>
          <cell r="J44">
            <v>0.05</v>
          </cell>
          <cell r="K44">
            <v>0.1</v>
          </cell>
          <cell r="L44" t="str">
            <v>---</v>
          </cell>
        </row>
        <row r="45">
          <cell r="B45">
            <v>2.9999999999999997E-4</v>
          </cell>
          <cell r="C45">
            <v>2E-3</v>
          </cell>
          <cell r="D45">
            <v>3.0000000000000001E-3</v>
          </cell>
          <cell r="E45">
            <v>5.0000000000000001E-3</v>
          </cell>
          <cell r="F45">
            <v>0.01</v>
          </cell>
          <cell r="G45">
            <v>1.4E-2</v>
          </cell>
          <cell r="H45">
            <v>2.5000000000000001E-2</v>
          </cell>
          <cell r="I45" t="str">
            <v>---</v>
          </cell>
          <cell r="J45" t="str">
            <v>---</v>
          </cell>
          <cell r="K45" t="str">
            <v>---</v>
          </cell>
          <cell r="L45" t="str">
            <v>---</v>
          </cell>
        </row>
        <row r="46">
          <cell r="B46">
            <v>2.0000000000000001E-4</v>
          </cell>
          <cell r="C46">
            <v>2E-3</v>
          </cell>
          <cell r="D46">
            <v>3.0000000000000001E-3</v>
          </cell>
          <cell r="E46">
            <v>5.0000000000000001E-3</v>
          </cell>
          <cell r="F46">
            <v>0.01</v>
          </cell>
          <cell r="G46">
            <v>1.4E-2</v>
          </cell>
          <cell r="H46" t="str">
            <v>---</v>
          </cell>
          <cell r="I46" t="str">
            <v>---</v>
          </cell>
          <cell r="J46" t="str">
            <v>---</v>
          </cell>
          <cell r="K46" t="str">
            <v>---</v>
          </cell>
          <cell r="L46" t="str">
            <v>---</v>
          </cell>
        </row>
        <row r="47">
          <cell r="B47">
            <v>1E-4</v>
          </cell>
          <cell r="C47">
            <v>2E-3</v>
          </cell>
          <cell r="D47">
            <v>3.0000000000000001E-3</v>
          </cell>
          <cell r="E47">
            <v>5.0000000000000001E-3</v>
          </cell>
          <cell r="F47">
            <v>0.01</v>
          </cell>
          <cell r="G47" t="str">
            <v>---</v>
          </cell>
          <cell r="H47" t="str">
            <v>---</v>
          </cell>
          <cell r="I47" t="str">
            <v>---</v>
          </cell>
          <cell r="J47" t="str">
            <v>---</v>
          </cell>
          <cell r="K47" t="str">
            <v>---</v>
          </cell>
          <cell r="L47" t="str">
            <v>---</v>
          </cell>
        </row>
        <row r="48">
          <cell r="B48">
            <v>5.0000000000000002E-5</v>
          </cell>
          <cell r="C48">
            <v>2E-3</v>
          </cell>
          <cell r="D48">
            <v>3.0000000000000001E-3</v>
          </cell>
          <cell r="E48">
            <v>5.0000000000000001E-3</v>
          </cell>
          <cell r="F48" t="str">
            <v>---</v>
          </cell>
          <cell r="G48" t="str">
            <v>---</v>
          </cell>
          <cell r="H48" t="str">
            <v>---</v>
          </cell>
          <cell r="I48" t="str">
            <v>---</v>
          </cell>
          <cell r="J48" t="str">
            <v>---</v>
          </cell>
          <cell r="K48" t="str">
            <v>---</v>
          </cell>
          <cell r="L48" t="str">
            <v>---</v>
          </cell>
        </row>
      </sheetData>
      <sheetData sheetId="7">
        <row r="3">
          <cell r="B3">
            <v>4535923.7</v>
          </cell>
          <cell r="C3" t="str">
            <v>---</v>
          </cell>
          <cell r="D3" t="str">
            <v>---</v>
          </cell>
          <cell r="E3">
            <v>23000</v>
          </cell>
          <cell r="F3">
            <v>45000</v>
          </cell>
          <cell r="G3">
            <v>90000</v>
          </cell>
          <cell r="H3">
            <v>227000</v>
          </cell>
          <cell r="I3">
            <v>454000</v>
          </cell>
          <cell r="J3">
            <v>680000</v>
          </cell>
        </row>
        <row r="4">
          <cell r="B4">
            <v>2267961.85</v>
          </cell>
          <cell r="C4" t="str">
            <v>---</v>
          </cell>
          <cell r="D4" t="str">
            <v>---</v>
          </cell>
          <cell r="E4">
            <v>11000</v>
          </cell>
          <cell r="F4">
            <v>22000</v>
          </cell>
          <cell r="G4">
            <v>44000</v>
          </cell>
          <cell r="H4">
            <v>113000</v>
          </cell>
          <cell r="I4">
            <v>227000</v>
          </cell>
          <cell r="J4">
            <v>340000</v>
          </cell>
        </row>
        <row r="5">
          <cell r="B5">
            <v>1360777.11</v>
          </cell>
          <cell r="C5" t="str">
            <v>---</v>
          </cell>
          <cell r="D5" t="str">
            <v>---</v>
          </cell>
          <cell r="E5">
            <v>7000</v>
          </cell>
          <cell r="F5">
            <v>14000</v>
          </cell>
          <cell r="G5">
            <v>28000</v>
          </cell>
          <cell r="H5">
            <v>68000</v>
          </cell>
          <cell r="I5">
            <v>136000</v>
          </cell>
          <cell r="J5">
            <v>204000</v>
          </cell>
        </row>
        <row r="6">
          <cell r="B6">
            <v>1133980.925</v>
          </cell>
          <cell r="C6" t="str">
            <v>---</v>
          </cell>
          <cell r="D6" t="str">
            <v>---</v>
          </cell>
          <cell r="E6">
            <v>6000</v>
          </cell>
          <cell r="F6">
            <v>12000</v>
          </cell>
          <cell r="G6">
            <v>24000</v>
          </cell>
          <cell r="H6">
            <v>57000</v>
          </cell>
          <cell r="I6">
            <v>113000</v>
          </cell>
          <cell r="J6">
            <v>170000</v>
          </cell>
        </row>
        <row r="7">
          <cell r="B7">
            <v>907184.74</v>
          </cell>
          <cell r="C7" t="str">
            <v>---</v>
          </cell>
          <cell r="D7" t="str">
            <v>---</v>
          </cell>
          <cell r="E7">
            <v>4500</v>
          </cell>
          <cell r="F7">
            <v>9000</v>
          </cell>
          <cell r="G7">
            <v>18000</v>
          </cell>
          <cell r="H7">
            <v>45000</v>
          </cell>
          <cell r="I7">
            <v>91000</v>
          </cell>
          <cell r="J7">
            <v>136000</v>
          </cell>
        </row>
        <row r="8">
          <cell r="B8">
            <v>453592.37</v>
          </cell>
          <cell r="C8" t="str">
            <v>---</v>
          </cell>
          <cell r="D8" t="str">
            <v>---</v>
          </cell>
          <cell r="E8">
            <v>2300</v>
          </cell>
          <cell r="F8">
            <v>4500</v>
          </cell>
          <cell r="G8">
            <v>9000</v>
          </cell>
          <cell r="H8">
            <v>23000</v>
          </cell>
          <cell r="I8">
            <v>45000</v>
          </cell>
          <cell r="J8">
            <v>68000</v>
          </cell>
        </row>
        <row r="9">
          <cell r="B9">
            <v>226796.185</v>
          </cell>
          <cell r="C9" t="str">
            <v>---</v>
          </cell>
          <cell r="D9" t="str">
            <v>---</v>
          </cell>
          <cell r="E9">
            <v>1700</v>
          </cell>
          <cell r="F9">
            <v>2300</v>
          </cell>
          <cell r="G9">
            <v>4600</v>
          </cell>
          <cell r="H9">
            <v>11000</v>
          </cell>
          <cell r="I9">
            <v>23000</v>
          </cell>
          <cell r="J9">
            <v>34000</v>
          </cell>
        </row>
        <row r="10">
          <cell r="B10">
            <v>45359.237000000001</v>
          </cell>
          <cell r="C10">
            <v>57</v>
          </cell>
          <cell r="D10">
            <v>110</v>
          </cell>
          <cell r="E10">
            <v>230</v>
          </cell>
          <cell r="F10">
            <v>460</v>
          </cell>
          <cell r="G10">
            <v>920</v>
          </cell>
          <cell r="H10">
            <v>2300</v>
          </cell>
          <cell r="I10">
            <v>4500</v>
          </cell>
          <cell r="J10">
            <v>6800</v>
          </cell>
        </row>
        <row r="11">
          <cell r="B11">
            <v>22679.6185</v>
          </cell>
          <cell r="C11">
            <v>29</v>
          </cell>
          <cell r="D11">
            <v>57</v>
          </cell>
          <cell r="E11">
            <v>110</v>
          </cell>
          <cell r="F11">
            <v>220</v>
          </cell>
          <cell r="G11">
            <v>440</v>
          </cell>
          <cell r="H11">
            <v>1100</v>
          </cell>
          <cell r="I11">
            <v>2300</v>
          </cell>
          <cell r="J11">
            <v>4100</v>
          </cell>
        </row>
        <row r="12">
          <cell r="B12">
            <v>13607.7711</v>
          </cell>
          <cell r="C12">
            <v>17</v>
          </cell>
          <cell r="D12">
            <v>34</v>
          </cell>
          <cell r="E12">
            <v>68</v>
          </cell>
          <cell r="F12">
            <v>140</v>
          </cell>
          <cell r="G12">
            <v>260</v>
          </cell>
          <cell r="H12">
            <v>680</v>
          </cell>
          <cell r="I12">
            <v>1400</v>
          </cell>
          <cell r="J12">
            <v>3000</v>
          </cell>
        </row>
        <row r="13">
          <cell r="B13">
            <v>11339.80925</v>
          </cell>
          <cell r="C13">
            <v>14</v>
          </cell>
          <cell r="D13">
            <v>28</v>
          </cell>
          <cell r="E13">
            <v>56</v>
          </cell>
          <cell r="F13">
            <v>110</v>
          </cell>
          <cell r="G13">
            <v>220</v>
          </cell>
          <cell r="H13">
            <v>570</v>
          </cell>
          <cell r="I13">
            <v>1100</v>
          </cell>
          <cell r="J13">
            <v>2500</v>
          </cell>
        </row>
        <row r="14">
          <cell r="B14">
            <v>9071.8474000000006</v>
          </cell>
          <cell r="C14">
            <v>12</v>
          </cell>
          <cell r="D14">
            <v>23</v>
          </cell>
          <cell r="E14">
            <v>46</v>
          </cell>
          <cell r="F14">
            <v>92</v>
          </cell>
          <cell r="G14">
            <v>180</v>
          </cell>
          <cell r="H14">
            <v>450</v>
          </cell>
          <cell r="I14">
            <v>910</v>
          </cell>
          <cell r="J14">
            <v>2000</v>
          </cell>
        </row>
        <row r="15">
          <cell r="B15">
            <v>4535.9237000000003</v>
          </cell>
          <cell r="C15">
            <v>5.5</v>
          </cell>
          <cell r="D15">
            <v>11</v>
          </cell>
          <cell r="E15">
            <v>22</v>
          </cell>
          <cell r="F15">
            <v>44</v>
          </cell>
          <cell r="G15">
            <v>88</v>
          </cell>
          <cell r="H15">
            <v>230</v>
          </cell>
          <cell r="I15">
            <v>450</v>
          </cell>
          <cell r="J15">
            <v>1300</v>
          </cell>
        </row>
        <row r="16">
          <cell r="B16">
            <v>2267.9618500000001</v>
          </cell>
          <cell r="C16">
            <v>2.7</v>
          </cell>
          <cell r="D16">
            <v>5.4</v>
          </cell>
          <cell r="E16">
            <v>11</v>
          </cell>
          <cell r="F16">
            <v>22</v>
          </cell>
          <cell r="G16">
            <v>43</v>
          </cell>
          <cell r="H16">
            <v>110</v>
          </cell>
          <cell r="I16">
            <v>230</v>
          </cell>
          <cell r="J16">
            <v>760</v>
          </cell>
        </row>
        <row r="17">
          <cell r="B17">
            <v>1360.77711</v>
          </cell>
          <cell r="C17">
            <v>1.7</v>
          </cell>
          <cell r="D17">
            <v>3.4</v>
          </cell>
          <cell r="E17">
            <v>6.8</v>
          </cell>
          <cell r="F17">
            <v>14</v>
          </cell>
          <cell r="G17">
            <v>27</v>
          </cell>
          <cell r="H17">
            <v>68</v>
          </cell>
          <cell r="I17">
            <v>140</v>
          </cell>
          <cell r="J17">
            <v>510</v>
          </cell>
        </row>
        <row r="18">
          <cell r="B18">
            <v>907.18474000000003</v>
          </cell>
          <cell r="C18">
            <v>1.2</v>
          </cell>
          <cell r="D18">
            <v>2.2999999999999998</v>
          </cell>
          <cell r="E18">
            <v>4.5999999999999996</v>
          </cell>
          <cell r="F18">
            <v>9.1999999999999993</v>
          </cell>
          <cell r="G18">
            <v>18</v>
          </cell>
          <cell r="H18">
            <v>45</v>
          </cell>
          <cell r="I18">
            <v>91</v>
          </cell>
          <cell r="J18">
            <v>430</v>
          </cell>
        </row>
        <row r="19">
          <cell r="B19">
            <v>453.59237000000002</v>
          </cell>
          <cell r="C19">
            <v>0.55000000000000004</v>
          </cell>
          <cell r="D19">
            <v>1.1000000000000001</v>
          </cell>
          <cell r="E19">
            <v>2.2000000000000002</v>
          </cell>
          <cell r="F19">
            <v>4.4000000000000004</v>
          </cell>
          <cell r="G19">
            <v>8.8000000000000007</v>
          </cell>
          <cell r="H19">
            <v>27</v>
          </cell>
          <cell r="I19">
            <v>45</v>
          </cell>
          <cell r="J19">
            <v>270</v>
          </cell>
        </row>
        <row r="20">
          <cell r="B20">
            <v>226.79618500000001</v>
          </cell>
          <cell r="C20">
            <v>0.27</v>
          </cell>
          <cell r="D20">
            <v>0.54</v>
          </cell>
          <cell r="E20">
            <v>1.1000000000000001</v>
          </cell>
          <cell r="F20">
            <v>2.2000000000000002</v>
          </cell>
          <cell r="G20">
            <v>4.3</v>
          </cell>
          <cell r="H20">
            <v>15</v>
          </cell>
          <cell r="I20">
            <v>23</v>
          </cell>
          <cell r="J20">
            <v>160</v>
          </cell>
        </row>
        <row r="21">
          <cell r="B21">
            <v>136.07771099999999</v>
          </cell>
          <cell r="C21">
            <v>0.17</v>
          </cell>
          <cell r="D21">
            <v>0.34</v>
          </cell>
          <cell r="E21">
            <v>0.68</v>
          </cell>
          <cell r="F21">
            <v>1.4</v>
          </cell>
          <cell r="G21">
            <v>2.7</v>
          </cell>
          <cell r="H21">
            <v>10</v>
          </cell>
          <cell r="I21">
            <v>14</v>
          </cell>
          <cell r="J21">
            <v>110</v>
          </cell>
        </row>
        <row r="22">
          <cell r="B22">
            <v>90.718474000000015</v>
          </cell>
          <cell r="C22">
            <v>0.12</v>
          </cell>
          <cell r="D22">
            <v>0.23</v>
          </cell>
          <cell r="E22">
            <v>0.46</v>
          </cell>
          <cell r="F22">
            <v>0.92</v>
          </cell>
          <cell r="G22">
            <v>1.8</v>
          </cell>
          <cell r="H22">
            <v>8.1</v>
          </cell>
          <cell r="I22">
            <v>9.6999999999999993</v>
          </cell>
          <cell r="J22">
            <v>91</v>
          </cell>
        </row>
        <row r="23">
          <cell r="B23">
            <v>45.359237000000007</v>
          </cell>
          <cell r="C23">
            <v>5.5E-2</v>
          </cell>
          <cell r="D23">
            <v>0.11</v>
          </cell>
          <cell r="E23">
            <v>0.22</v>
          </cell>
          <cell r="F23">
            <v>0.44</v>
          </cell>
          <cell r="G23">
            <v>1.1000000000000001</v>
          </cell>
          <cell r="H23">
            <v>5.0999999999999996</v>
          </cell>
          <cell r="I23">
            <v>6.8</v>
          </cell>
          <cell r="J23">
            <v>56</v>
          </cell>
        </row>
        <row r="24">
          <cell r="B24">
            <v>22.679618500000004</v>
          </cell>
          <cell r="C24">
            <v>2.7E-2</v>
          </cell>
          <cell r="D24">
            <v>5.3999999999999999E-2</v>
          </cell>
          <cell r="E24">
            <v>0.11</v>
          </cell>
          <cell r="F24">
            <v>0.36</v>
          </cell>
          <cell r="G24">
            <v>0.77</v>
          </cell>
          <cell r="H24">
            <v>3</v>
          </cell>
          <cell r="I24">
            <v>4.5</v>
          </cell>
          <cell r="J24">
            <v>33</v>
          </cell>
        </row>
        <row r="25">
          <cell r="B25">
            <v>13.607771100000001</v>
          </cell>
          <cell r="C25">
            <v>1.7000000000000001E-2</v>
          </cell>
          <cell r="D25">
            <v>3.4000000000000002E-2</v>
          </cell>
          <cell r="E25">
            <v>6.8000000000000005E-2</v>
          </cell>
          <cell r="F25">
            <v>0.32</v>
          </cell>
          <cell r="G25">
            <v>0.59</v>
          </cell>
          <cell r="H25">
            <v>2</v>
          </cell>
          <cell r="I25">
            <v>3.2</v>
          </cell>
          <cell r="J25">
            <v>22</v>
          </cell>
        </row>
        <row r="26">
          <cell r="B26">
            <v>9.0718474000000011</v>
          </cell>
          <cell r="C26">
            <v>1.7000000000000001E-2</v>
          </cell>
          <cell r="D26">
            <v>3.4000000000000002E-2</v>
          </cell>
          <cell r="E26">
            <v>4.5999999999999999E-2</v>
          </cell>
          <cell r="F26">
            <v>0.23</v>
          </cell>
          <cell r="G26">
            <v>0.45</v>
          </cell>
          <cell r="H26">
            <v>1.8</v>
          </cell>
          <cell r="I26">
            <v>2.2999999999999998</v>
          </cell>
          <cell r="J26">
            <v>19</v>
          </cell>
        </row>
        <row r="27">
          <cell r="B27">
            <v>4.5359237000000006</v>
          </cell>
          <cell r="C27">
            <v>1.2E-2</v>
          </cell>
          <cell r="D27">
            <v>2.3E-2</v>
          </cell>
          <cell r="E27">
            <v>3.4000000000000002E-2</v>
          </cell>
          <cell r="F27">
            <v>0.16</v>
          </cell>
          <cell r="G27">
            <v>0.34</v>
          </cell>
          <cell r="H27">
            <v>1.2</v>
          </cell>
          <cell r="I27">
            <v>1.4</v>
          </cell>
          <cell r="J27">
            <v>12</v>
          </cell>
        </row>
        <row r="28">
          <cell r="B28">
            <v>2.2679618500000003</v>
          </cell>
          <cell r="C28">
            <v>7.4999999999999997E-3</v>
          </cell>
          <cell r="D28">
            <v>1.4999999999999999E-2</v>
          </cell>
          <cell r="E28">
            <v>2.4E-2</v>
          </cell>
          <cell r="F28">
            <v>0.14000000000000001</v>
          </cell>
          <cell r="G28">
            <v>0.27</v>
          </cell>
          <cell r="H28">
            <v>0.86</v>
          </cell>
          <cell r="I28">
            <v>0.91</v>
          </cell>
          <cell r="J28">
            <v>7</v>
          </cell>
        </row>
        <row r="29">
          <cell r="B29">
            <v>1.3607771100000001</v>
          </cell>
          <cell r="C29">
            <v>7.4999999999999997E-3</v>
          </cell>
          <cell r="D29">
            <v>1.4999999999999999E-2</v>
          </cell>
          <cell r="E29">
            <v>2.4E-2</v>
          </cell>
          <cell r="F29">
            <v>0.11</v>
          </cell>
          <cell r="G29">
            <v>0.22</v>
          </cell>
          <cell r="H29">
            <v>0.64</v>
          </cell>
          <cell r="I29">
            <v>0.91</v>
          </cell>
          <cell r="J29">
            <v>5</v>
          </cell>
        </row>
        <row r="30">
          <cell r="B30">
            <v>0.90718474000000004</v>
          </cell>
          <cell r="C30">
            <v>7.4999999999999997E-3</v>
          </cell>
          <cell r="D30">
            <v>1.4999999999999999E-2</v>
          </cell>
          <cell r="E30">
            <v>2.4E-2</v>
          </cell>
          <cell r="F30">
            <v>9.0999999999999998E-2</v>
          </cell>
          <cell r="G30">
            <v>0.19</v>
          </cell>
          <cell r="H30">
            <v>0.5</v>
          </cell>
          <cell r="I30">
            <v>0.91</v>
          </cell>
          <cell r="J30">
            <v>4</v>
          </cell>
        </row>
        <row r="31">
          <cell r="B31">
            <v>0.45359237000000002</v>
          </cell>
          <cell r="C31">
            <v>7.4999999999999997E-3</v>
          </cell>
          <cell r="D31">
            <v>1.4999999999999999E-2</v>
          </cell>
          <cell r="E31">
            <v>2.4E-2</v>
          </cell>
          <cell r="F31">
            <v>6.8000000000000005E-2</v>
          </cell>
          <cell r="G31">
            <v>0.15</v>
          </cell>
          <cell r="H31">
            <v>0.36</v>
          </cell>
          <cell r="I31">
            <v>0.91</v>
          </cell>
          <cell r="J31">
            <v>3</v>
          </cell>
        </row>
        <row r="32">
          <cell r="B32">
            <v>0.22679618500000001</v>
          </cell>
          <cell r="C32">
            <v>4.4999999999999997E-3</v>
          </cell>
          <cell r="D32">
            <v>8.9999999999999993E-3</v>
          </cell>
          <cell r="E32">
            <v>2.3E-2</v>
          </cell>
          <cell r="F32">
            <v>7.0000000000000007E-2</v>
          </cell>
          <cell r="G32">
            <v>0.15</v>
          </cell>
          <cell r="H32">
            <v>0.3</v>
          </cell>
          <cell r="I32">
            <v>0.9</v>
          </cell>
          <cell r="J32">
            <v>3</v>
          </cell>
        </row>
        <row r="33">
          <cell r="B33">
            <v>0.13607771099999999</v>
          </cell>
          <cell r="C33">
            <v>4.4999999999999997E-3</v>
          </cell>
          <cell r="D33">
            <v>8.9999999999999993E-3</v>
          </cell>
          <cell r="E33">
            <v>2.3E-2</v>
          </cell>
          <cell r="F33">
            <v>7.0000000000000007E-2</v>
          </cell>
          <cell r="G33">
            <v>0.15</v>
          </cell>
          <cell r="H33">
            <v>0.3</v>
          </cell>
          <cell r="I33">
            <v>0.9</v>
          </cell>
          <cell r="J33">
            <v>3</v>
          </cell>
        </row>
        <row r="34">
          <cell r="B34">
            <v>9.0718474000000007E-2</v>
          </cell>
          <cell r="C34">
            <v>4.4999999999999997E-3</v>
          </cell>
          <cell r="D34">
            <v>8.9999999999999993E-3</v>
          </cell>
          <cell r="E34">
            <v>2.3E-2</v>
          </cell>
          <cell r="F34">
            <v>7.0000000000000007E-2</v>
          </cell>
          <cell r="G34">
            <v>0.15</v>
          </cell>
          <cell r="H34">
            <v>0.3</v>
          </cell>
          <cell r="I34">
            <v>0.9</v>
          </cell>
          <cell r="J34">
            <v>3</v>
          </cell>
        </row>
        <row r="35">
          <cell r="B35">
            <v>4.5359237000000004E-2</v>
          </cell>
          <cell r="C35">
            <v>4.4999999999999997E-3</v>
          </cell>
          <cell r="D35">
            <v>8.9999999999999993E-3</v>
          </cell>
          <cell r="E35">
            <v>2.3E-2</v>
          </cell>
          <cell r="F35">
            <v>7.0000000000000007E-2</v>
          </cell>
          <cell r="G35">
            <v>0.15</v>
          </cell>
          <cell r="H35">
            <v>0.3</v>
          </cell>
          <cell r="I35">
            <v>0.9</v>
          </cell>
          <cell r="J35">
            <v>3</v>
          </cell>
        </row>
        <row r="36">
          <cell r="B36">
            <v>2.2679618500000002E-2</v>
          </cell>
          <cell r="C36">
            <v>4.4999999999999997E-3</v>
          </cell>
          <cell r="D36">
            <v>8.9999999999999993E-3</v>
          </cell>
          <cell r="E36">
            <v>2.3E-2</v>
          </cell>
          <cell r="F36">
            <v>7.0000000000000007E-2</v>
          </cell>
          <cell r="G36">
            <v>0.15</v>
          </cell>
          <cell r="H36">
            <v>0.3</v>
          </cell>
          <cell r="I36">
            <v>0.9</v>
          </cell>
          <cell r="J36">
            <v>3</v>
          </cell>
        </row>
        <row r="37">
          <cell r="B37">
            <v>1.3607771100000001E-2</v>
          </cell>
          <cell r="C37">
            <v>4.4999999999999997E-3</v>
          </cell>
          <cell r="D37">
            <v>8.9999999999999993E-3</v>
          </cell>
          <cell r="E37">
            <v>2.3E-2</v>
          </cell>
          <cell r="F37">
            <v>7.0000000000000007E-2</v>
          </cell>
          <cell r="G37">
            <v>0.15</v>
          </cell>
          <cell r="H37">
            <v>0.3</v>
          </cell>
          <cell r="I37">
            <v>0.9</v>
          </cell>
          <cell r="J37">
            <v>3</v>
          </cell>
        </row>
        <row r="38">
          <cell r="B38">
            <v>9.0718474000000011E-3</v>
          </cell>
          <cell r="C38">
            <v>4.4999999999999997E-3</v>
          </cell>
          <cell r="D38">
            <v>8.9999999999999993E-3</v>
          </cell>
          <cell r="E38">
            <v>2.3E-2</v>
          </cell>
          <cell r="F38">
            <v>7.0000000000000007E-2</v>
          </cell>
          <cell r="G38">
            <v>0.15</v>
          </cell>
          <cell r="H38">
            <v>0.3</v>
          </cell>
          <cell r="I38">
            <v>0.9</v>
          </cell>
          <cell r="J38">
            <v>3</v>
          </cell>
        </row>
        <row r="39">
          <cell r="B39">
            <v>4.5359237000000005E-3</v>
          </cell>
          <cell r="C39">
            <v>4.4999999999999997E-3</v>
          </cell>
          <cell r="D39">
            <v>8.9999999999999993E-3</v>
          </cell>
          <cell r="E39">
            <v>2.3E-2</v>
          </cell>
          <cell r="F39">
            <v>7.0000000000000007E-2</v>
          </cell>
          <cell r="G39">
            <v>0.15</v>
          </cell>
          <cell r="H39">
            <v>0.3</v>
          </cell>
          <cell r="I39">
            <v>0.9</v>
          </cell>
          <cell r="J39">
            <v>3</v>
          </cell>
        </row>
      </sheetData>
      <sheetData sheetId="8">
        <row r="3">
          <cell r="B3">
            <v>283.49523125000002</v>
          </cell>
          <cell r="C3">
            <v>0.4</v>
          </cell>
          <cell r="D3">
            <v>0.7</v>
          </cell>
          <cell r="E3">
            <v>1.4</v>
          </cell>
          <cell r="F3">
            <v>2.8</v>
          </cell>
          <cell r="G3">
            <v>5.4</v>
          </cell>
          <cell r="H3">
            <v>19</v>
          </cell>
          <cell r="I3">
            <v>45</v>
          </cell>
          <cell r="J3">
            <v>320</v>
          </cell>
        </row>
        <row r="4">
          <cell r="B4">
            <v>226.79618500000001</v>
          </cell>
          <cell r="C4">
            <v>0.3</v>
          </cell>
          <cell r="D4">
            <v>0.6</v>
          </cell>
          <cell r="E4">
            <v>1.2</v>
          </cell>
          <cell r="F4">
            <v>2.2999999999999998</v>
          </cell>
          <cell r="G4">
            <v>4.5</v>
          </cell>
          <cell r="H4">
            <v>16</v>
          </cell>
          <cell r="I4">
            <v>23</v>
          </cell>
          <cell r="J4">
            <v>180</v>
          </cell>
        </row>
        <row r="5">
          <cell r="B5">
            <v>141.74761562500001</v>
          </cell>
          <cell r="C5">
            <v>0.18</v>
          </cell>
          <cell r="D5">
            <v>0.35</v>
          </cell>
          <cell r="E5">
            <v>0.7</v>
          </cell>
          <cell r="F5">
            <v>1.4</v>
          </cell>
          <cell r="G5">
            <v>2.8</v>
          </cell>
          <cell r="H5">
            <v>12</v>
          </cell>
          <cell r="I5">
            <v>16</v>
          </cell>
          <cell r="J5">
            <v>160</v>
          </cell>
        </row>
        <row r="6">
          <cell r="B6">
            <v>113.3980925</v>
          </cell>
          <cell r="C6">
            <v>0.14000000000000001</v>
          </cell>
          <cell r="D6">
            <v>0.28000000000000003</v>
          </cell>
          <cell r="E6">
            <v>0.55000000000000004</v>
          </cell>
          <cell r="F6">
            <v>1.1000000000000001</v>
          </cell>
          <cell r="G6">
            <v>2.2999999999999998</v>
          </cell>
          <cell r="H6">
            <v>9.5</v>
          </cell>
          <cell r="I6">
            <v>11</v>
          </cell>
          <cell r="J6">
            <v>110</v>
          </cell>
        </row>
        <row r="7">
          <cell r="B7">
            <v>85.048569375</v>
          </cell>
          <cell r="C7">
            <v>0.12</v>
          </cell>
          <cell r="D7">
            <v>0.23</v>
          </cell>
          <cell r="E7">
            <v>0.45</v>
          </cell>
          <cell r="F7">
            <v>0.91</v>
          </cell>
          <cell r="G7">
            <v>1.8</v>
          </cell>
          <cell r="H7">
            <v>8.1999999999999993</v>
          </cell>
          <cell r="I7">
            <v>8.1</v>
          </cell>
          <cell r="J7">
            <v>73</v>
          </cell>
        </row>
        <row r="8">
          <cell r="B8">
            <v>56.699046250000002</v>
          </cell>
          <cell r="C8">
            <v>7.0000000000000007E-2</v>
          </cell>
          <cell r="D8">
            <v>0.13</v>
          </cell>
          <cell r="E8">
            <v>0.26</v>
          </cell>
          <cell r="F8">
            <v>0.64</v>
          </cell>
          <cell r="G8">
            <v>1.3</v>
          </cell>
          <cell r="H8">
            <v>5.9</v>
          </cell>
          <cell r="I8">
            <v>5.4</v>
          </cell>
          <cell r="J8">
            <v>48</v>
          </cell>
        </row>
        <row r="9">
          <cell r="B9">
            <v>28.349523125000001</v>
          </cell>
          <cell r="C9">
            <v>0.04</v>
          </cell>
          <cell r="D9">
            <v>7.0000000000000007E-2</v>
          </cell>
          <cell r="E9">
            <v>0.14000000000000001</v>
          </cell>
          <cell r="F9">
            <v>0.42</v>
          </cell>
          <cell r="G9">
            <v>0.86</v>
          </cell>
          <cell r="H9">
            <v>3.9</v>
          </cell>
          <cell r="I9">
            <v>3.2</v>
          </cell>
          <cell r="J9">
            <v>28</v>
          </cell>
        </row>
        <row r="10">
          <cell r="B10">
            <v>14.174761562500001</v>
          </cell>
          <cell r="C10">
            <v>0.02</v>
          </cell>
          <cell r="D10">
            <v>0.04</v>
          </cell>
          <cell r="E10">
            <v>0.08</v>
          </cell>
          <cell r="F10">
            <v>0.3</v>
          </cell>
          <cell r="G10">
            <v>0.59</v>
          </cell>
          <cell r="H10">
            <v>2.5</v>
          </cell>
          <cell r="I10">
            <v>2.2999999999999998</v>
          </cell>
          <cell r="J10">
            <v>25</v>
          </cell>
        </row>
        <row r="11">
          <cell r="B11">
            <v>7.0873807812500003</v>
          </cell>
          <cell r="C11">
            <v>1.4999999999999999E-2</v>
          </cell>
          <cell r="D11">
            <v>0.03</v>
          </cell>
          <cell r="E11">
            <v>0.06</v>
          </cell>
          <cell r="F11">
            <v>0.2</v>
          </cell>
          <cell r="G11">
            <v>0.43</v>
          </cell>
          <cell r="H11">
            <v>1.5</v>
          </cell>
          <cell r="I11">
            <v>1.4</v>
          </cell>
          <cell r="J11">
            <v>9.1</v>
          </cell>
        </row>
        <row r="12">
          <cell r="B12">
            <v>3.5436903906250001</v>
          </cell>
          <cell r="C12">
            <v>1.4999999999999999E-2</v>
          </cell>
          <cell r="D12">
            <v>2.9000000000000001E-2</v>
          </cell>
          <cell r="E12">
            <v>5.8000000000000003E-2</v>
          </cell>
          <cell r="F12">
            <v>0.16</v>
          </cell>
          <cell r="G12">
            <v>0.31</v>
          </cell>
          <cell r="H12">
            <v>1.1000000000000001</v>
          </cell>
          <cell r="I12">
            <v>0.91</v>
          </cell>
          <cell r="J12">
            <v>4.3</v>
          </cell>
        </row>
        <row r="13">
          <cell r="B13">
            <v>1.7718451953125001</v>
          </cell>
          <cell r="C13">
            <v>1.2999999999999999E-2</v>
          </cell>
          <cell r="D13">
            <v>2.5000000000000001E-2</v>
          </cell>
          <cell r="E13">
            <v>0.05</v>
          </cell>
          <cell r="F13">
            <v>0.12</v>
          </cell>
          <cell r="G13">
            <v>0.24</v>
          </cell>
          <cell r="H13">
            <v>0.73</v>
          </cell>
          <cell r="I13">
            <v>0.91</v>
          </cell>
          <cell r="J13">
            <v>4.3</v>
          </cell>
        </row>
        <row r="14">
          <cell r="B14">
            <v>0.88592259765625003</v>
          </cell>
          <cell r="C14">
            <v>8.0000000000000002E-3</v>
          </cell>
          <cell r="D14">
            <v>1.4999999999999999E-2</v>
          </cell>
          <cell r="E14">
            <v>0.03</v>
          </cell>
          <cell r="F14">
            <v>9.5000000000000001E-2</v>
          </cell>
          <cell r="G14">
            <v>0.19</v>
          </cell>
          <cell r="H14">
            <v>0.5</v>
          </cell>
          <cell r="I14">
            <v>0.91</v>
          </cell>
          <cell r="J14">
            <v>4.3</v>
          </cell>
        </row>
        <row r="15">
          <cell r="B15">
            <v>0.44296129882812502</v>
          </cell>
          <cell r="C15">
            <v>6.0000000000000001E-3</v>
          </cell>
          <cell r="D15">
            <v>1.2E-2</v>
          </cell>
          <cell r="E15">
            <v>2.4E-2</v>
          </cell>
          <cell r="F15">
            <v>7.6999999999999999E-2</v>
          </cell>
          <cell r="G15">
            <v>0.15</v>
          </cell>
          <cell r="H15">
            <v>0.36</v>
          </cell>
          <cell r="I15">
            <v>0.91</v>
          </cell>
          <cell r="J15">
            <v>4.3</v>
          </cell>
        </row>
        <row r="16">
          <cell r="B16">
            <v>14.174761562500001</v>
          </cell>
          <cell r="C16" t="str">
            <v>---</v>
          </cell>
          <cell r="D16" t="str">
            <v>---</v>
          </cell>
          <cell r="E16">
            <v>0.08</v>
          </cell>
          <cell r="F16">
            <v>0.3</v>
          </cell>
          <cell r="G16">
            <v>0.59</v>
          </cell>
          <cell r="H16">
            <v>2.5</v>
          </cell>
          <cell r="I16">
            <v>2.2999999999999998</v>
          </cell>
          <cell r="J16">
            <v>25</v>
          </cell>
        </row>
        <row r="17">
          <cell r="B17">
            <v>8.5048569374999996</v>
          </cell>
          <cell r="C17" t="str">
            <v>---</v>
          </cell>
          <cell r="D17" t="str">
            <v>---</v>
          </cell>
          <cell r="E17">
            <v>6.8000000000000005E-2</v>
          </cell>
          <cell r="F17">
            <v>0.23</v>
          </cell>
          <cell r="G17">
            <v>0.45</v>
          </cell>
          <cell r="H17">
            <v>1.8</v>
          </cell>
          <cell r="I17">
            <v>1.4</v>
          </cell>
          <cell r="J17">
            <v>9.1</v>
          </cell>
        </row>
        <row r="18">
          <cell r="B18">
            <v>5.6699046250000009</v>
          </cell>
          <cell r="C18" t="str">
            <v>---</v>
          </cell>
          <cell r="D18" t="str">
            <v>---</v>
          </cell>
          <cell r="E18">
            <v>5.7000000000000002E-2</v>
          </cell>
          <cell r="F18">
            <v>0.19</v>
          </cell>
          <cell r="G18">
            <v>0.38</v>
          </cell>
          <cell r="H18">
            <v>1.4</v>
          </cell>
          <cell r="I18">
            <v>0.91</v>
          </cell>
          <cell r="J18">
            <v>5.9</v>
          </cell>
        </row>
        <row r="19">
          <cell r="B19">
            <v>2.8349523125000005</v>
          </cell>
          <cell r="C19" t="str">
            <v>---</v>
          </cell>
          <cell r="D19" t="str">
            <v>---</v>
          </cell>
          <cell r="E19">
            <v>0.05</v>
          </cell>
          <cell r="F19">
            <v>0.14000000000000001</v>
          </cell>
          <cell r="G19">
            <v>0.28999999999999998</v>
          </cell>
          <cell r="H19">
            <v>0.91</v>
          </cell>
          <cell r="I19">
            <v>0.91</v>
          </cell>
          <cell r="J19">
            <v>4.3</v>
          </cell>
        </row>
        <row r="20">
          <cell r="B20">
            <v>1.4174761562500002</v>
          </cell>
          <cell r="C20" t="str">
            <v>---</v>
          </cell>
          <cell r="D20" t="str">
            <v>---</v>
          </cell>
          <cell r="E20">
            <v>0.05</v>
          </cell>
          <cell r="F20">
            <v>0.11</v>
          </cell>
          <cell r="G20">
            <v>0.23</v>
          </cell>
          <cell r="H20">
            <v>0.64</v>
          </cell>
          <cell r="I20">
            <v>0.91</v>
          </cell>
          <cell r="J20">
            <v>2</v>
          </cell>
        </row>
        <row r="21">
          <cell r="B21">
            <v>0.85048569375000005</v>
          </cell>
          <cell r="C21" t="str">
            <v>---</v>
          </cell>
          <cell r="D21" t="str">
            <v>---</v>
          </cell>
          <cell r="E21">
            <v>0.03</v>
          </cell>
          <cell r="F21">
            <v>9.5000000000000001E-2</v>
          </cell>
          <cell r="G21">
            <v>0.19</v>
          </cell>
          <cell r="H21">
            <v>0.45</v>
          </cell>
          <cell r="I21">
            <v>0.91</v>
          </cell>
          <cell r="J21">
            <v>2</v>
          </cell>
        </row>
        <row r="22">
          <cell r="B22">
            <v>0.56699046250000007</v>
          </cell>
          <cell r="C22" t="str">
            <v>---</v>
          </cell>
          <cell r="D22" t="str">
            <v>---</v>
          </cell>
          <cell r="E22">
            <v>2.3E-2</v>
          </cell>
          <cell r="F22">
            <v>7.6999999999999999E-2</v>
          </cell>
          <cell r="G22">
            <v>0.18</v>
          </cell>
          <cell r="H22">
            <v>0.4</v>
          </cell>
          <cell r="I22">
            <v>0.91</v>
          </cell>
          <cell r="J22">
            <v>2</v>
          </cell>
        </row>
        <row r="23">
          <cell r="B23">
            <v>0.28349523125000003</v>
          </cell>
          <cell r="C23" t="str">
            <v>---</v>
          </cell>
          <cell r="D23" t="str">
            <v>---</v>
          </cell>
          <cell r="E23">
            <v>2.3E-2</v>
          </cell>
          <cell r="F23">
            <v>6.4000000000000001E-2</v>
          </cell>
          <cell r="G23">
            <v>0.14000000000000001</v>
          </cell>
          <cell r="H23">
            <v>0.3</v>
          </cell>
          <cell r="I23">
            <v>0.91</v>
          </cell>
          <cell r="J23">
            <v>2</v>
          </cell>
        </row>
        <row r="24">
          <cell r="B24">
            <v>0.14174761562500002</v>
          </cell>
          <cell r="C24" t="str">
            <v>---</v>
          </cell>
          <cell r="D24" t="str">
            <v>---</v>
          </cell>
          <cell r="E24">
            <v>2.3E-2</v>
          </cell>
          <cell r="F24">
            <v>5.3999999999999999E-2</v>
          </cell>
          <cell r="G24">
            <v>0.11</v>
          </cell>
          <cell r="H24">
            <v>0.23</v>
          </cell>
          <cell r="I24" t="str">
            <v>---</v>
          </cell>
          <cell r="J24" t="str">
            <v>---</v>
          </cell>
        </row>
        <row r="25">
          <cell r="B25">
            <v>8.5048569375000008E-2</v>
          </cell>
          <cell r="C25" t="str">
            <v>---</v>
          </cell>
          <cell r="D25" t="str">
            <v>---</v>
          </cell>
          <cell r="E25">
            <v>2.3E-2</v>
          </cell>
          <cell r="F25">
            <v>0.05</v>
          </cell>
          <cell r="G25">
            <v>9.5000000000000001E-2</v>
          </cell>
          <cell r="H25">
            <v>0.19</v>
          </cell>
          <cell r="I25" t="str">
            <v>---</v>
          </cell>
          <cell r="J25" t="str">
            <v>---</v>
          </cell>
        </row>
        <row r="26">
          <cell r="B26">
            <v>5.6699046250000003E-2</v>
          </cell>
          <cell r="C26" t="str">
            <v>---</v>
          </cell>
          <cell r="D26" t="str">
            <v>---</v>
          </cell>
          <cell r="E26">
            <v>2.3E-2</v>
          </cell>
          <cell r="F26">
            <v>4.3999999999999997E-2</v>
          </cell>
          <cell r="G26">
            <v>8.5999999999999993E-2</v>
          </cell>
          <cell r="H26">
            <v>0.16</v>
          </cell>
          <cell r="I26" t="str">
            <v>---</v>
          </cell>
          <cell r="J26" t="str">
            <v>---</v>
          </cell>
        </row>
        <row r="27">
          <cell r="B27">
            <v>2.8349523125000001E-2</v>
          </cell>
          <cell r="C27" t="str">
            <v>---</v>
          </cell>
          <cell r="D27" t="str">
            <v>---</v>
          </cell>
          <cell r="E27">
            <v>2.3E-2</v>
          </cell>
          <cell r="F27">
            <v>3.7999999999999999E-2</v>
          </cell>
          <cell r="G27">
            <v>7.6999999999999999E-2</v>
          </cell>
          <cell r="H27">
            <v>0.13</v>
          </cell>
          <cell r="I27" t="str">
            <v>---</v>
          </cell>
          <cell r="J27" t="str">
            <v>---</v>
          </cell>
        </row>
        <row r="28">
          <cell r="B28">
            <v>1.4174761562500001E-2</v>
          </cell>
          <cell r="C28" t="str">
            <v>---</v>
          </cell>
          <cell r="D28" t="str">
            <v>---</v>
          </cell>
          <cell r="E28">
            <v>2.3E-2</v>
          </cell>
          <cell r="F28">
            <v>3.1E-2</v>
          </cell>
          <cell r="G28">
            <v>6.4000000000000001E-2</v>
          </cell>
          <cell r="H28">
            <v>0.11</v>
          </cell>
          <cell r="I28" t="str">
            <v>---</v>
          </cell>
          <cell r="J28" t="str">
            <v>---</v>
          </cell>
        </row>
        <row r="29">
          <cell r="B29">
            <v>8.5048569374999994E-3</v>
          </cell>
          <cell r="C29" t="str">
            <v>---</v>
          </cell>
          <cell r="D29" t="str">
            <v>---</v>
          </cell>
          <cell r="E29">
            <v>2.3E-2</v>
          </cell>
          <cell r="F29">
            <v>2.9000000000000001E-2</v>
          </cell>
          <cell r="G29">
            <v>5.8999999999999997E-2</v>
          </cell>
          <cell r="H29">
            <v>9.5000000000000001E-2</v>
          </cell>
          <cell r="I29" t="str">
            <v>---</v>
          </cell>
          <cell r="J29" t="str">
            <v>---</v>
          </cell>
        </row>
        <row r="30">
          <cell r="B30">
            <v>5.6699046250000005E-3</v>
          </cell>
          <cell r="C30" t="str">
            <v>---</v>
          </cell>
          <cell r="D30" t="str">
            <v>---</v>
          </cell>
          <cell r="E30">
            <v>2.3E-2</v>
          </cell>
          <cell r="F30">
            <v>2.7E-2</v>
          </cell>
          <cell r="G30">
            <v>5.3999999999999999E-2</v>
          </cell>
          <cell r="H30">
            <v>8.5999999999999993E-2</v>
          </cell>
          <cell r="I30" t="str">
            <v>---</v>
          </cell>
          <cell r="J30" t="str">
            <v>---</v>
          </cell>
        </row>
        <row r="31">
          <cell r="B31">
            <v>2.8349523125000002E-3</v>
          </cell>
          <cell r="C31" t="str">
            <v>---</v>
          </cell>
          <cell r="D31" t="str">
            <v>---</v>
          </cell>
          <cell r="E31">
            <v>2.3E-2</v>
          </cell>
          <cell r="F31">
            <v>2.5999999999999999E-2</v>
          </cell>
          <cell r="G31">
            <v>0.05</v>
          </cell>
          <cell r="H31">
            <v>7.2999999999999995E-2</v>
          </cell>
          <cell r="I31" t="str">
            <v>---</v>
          </cell>
          <cell r="J31" t="str">
            <v>---</v>
          </cell>
        </row>
      </sheetData>
      <sheetData sheetId="9">
        <row r="3">
          <cell r="B3">
            <v>31103.4768</v>
          </cell>
          <cell r="C3">
            <v>160</v>
          </cell>
          <cell r="D3">
            <v>310</v>
          </cell>
          <cell r="E3">
            <v>620</v>
          </cell>
          <cell r="F3">
            <v>1600</v>
          </cell>
          <cell r="G3">
            <v>3200</v>
          </cell>
        </row>
        <row r="4">
          <cell r="B4">
            <v>15551.7384</v>
          </cell>
          <cell r="C4">
            <v>80</v>
          </cell>
          <cell r="D4">
            <v>160</v>
          </cell>
          <cell r="E4">
            <v>310</v>
          </cell>
          <cell r="F4">
            <v>770</v>
          </cell>
          <cell r="G4">
            <v>1500</v>
          </cell>
        </row>
        <row r="5">
          <cell r="B5">
            <v>9331.0430400000005</v>
          </cell>
          <cell r="C5">
            <v>45</v>
          </cell>
          <cell r="D5">
            <v>90</v>
          </cell>
          <cell r="E5">
            <v>190</v>
          </cell>
          <cell r="F5">
            <v>470</v>
          </cell>
          <cell r="G5">
            <v>940</v>
          </cell>
        </row>
        <row r="6">
          <cell r="B6">
            <v>6220.6953599999997</v>
          </cell>
          <cell r="C6">
            <v>31</v>
          </cell>
          <cell r="D6">
            <v>62</v>
          </cell>
          <cell r="E6">
            <v>120</v>
          </cell>
          <cell r="F6">
            <v>310</v>
          </cell>
          <cell r="G6">
            <v>620</v>
          </cell>
        </row>
        <row r="7">
          <cell r="B7">
            <v>3110.3476799999999</v>
          </cell>
          <cell r="C7">
            <v>16</v>
          </cell>
          <cell r="D7">
            <v>31</v>
          </cell>
          <cell r="E7">
            <v>62</v>
          </cell>
          <cell r="F7">
            <v>160</v>
          </cell>
          <cell r="G7">
            <v>320</v>
          </cell>
        </row>
        <row r="8">
          <cell r="B8">
            <v>1555.1738399999999</v>
          </cell>
          <cell r="C8">
            <v>8</v>
          </cell>
          <cell r="D8">
            <v>16</v>
          </cell>
          <cell r="E8">
            <v>31</v>
          </cell>
          <cell r="F8">
            <v>77</v>
          </cell>
          <cell r="G8">
            <v>150</v>
          </cell>
        </row>
        <row r="9">
          <cell r="B9">
            <v>933.10430399999996</v>
          </cell>
          <cell r="C9">
            <v>4.5999999999999996</v>
          </cell>
          <cell r="D9">
            <v>9.1</v>
          </cell>
          <cell r="E9">
            <v>19</v>
          </cell>
          <cell r="F9">
            <v>47</v>
          </cell>
          <cell r="G9">
            <v>94</v>
          </cell>
        </row>
        <row r="10">
          <cell r="B10">
            <v>622.06953599999997</v>
          </cell>
          <cell r="C10">
            <v>3.1</v>
          </cell>
          <cell r="D10">
            <v>6.2</v>
          </cell>
          <cell r="E10">
            <v>12</v>
          </cell>
          <cell r="F10">
            <v>35</v>
          </cell>
          <cell r="G10">
            <v>58</v>
          </cell>
        </row>
        <row r="11">
          <cell r="B11">
            <v>311.03476799999999</v>
          </cell>
          <cell r="C11">
            <v>1.6</v>
          </cell>
          <cell r="D11">
            <v>3.1</v>
          </cell>
          <cell r="E11">
            <v>6.2</v>
          </cell>
          <cell r="F11">
            <v>21</v>
          </cell>
          <cell r="G11">
            <v>32</v>
          </cell>
        </row>
        <row r="12">
          <cell r="B12">
            <v>155.51738399999999</v>
          </cell>
          <cell r="C12">
            <v>0.8</v>
          </cell>
          <cell r="D12">
            <v>1.6</v>
          </cell>
          <cell r="E12">
            <v>3.1</v>
          </cell>
          <cell r="F12">
            <v>12</v>
          </cell>
          <cell r="G12">
            <v>16</v>
          </cell>
        </row>
        <row r="13">
          <cell r="B13">
            <v>93.310430400000001</v>
          </cell>
          <cell r="C13">
            <v>0.46</v>
          </cell>
          <cell r="D13">
            <v>0.91</v>
          </cell>
          <cell r="E13">
            <v>1.9</v>
          </cell>
          <cell r="F13">
            <v>8.4</v>
          </cell>
          <cell r="G13">
            <v>9.3000000000000007</v>
          </cell>
        </row>
        <row r="14">
          <cell r="B14">
            <v>62.206953599999999</v>
          </cell>
          <cell r="C14" t="str">
            <v>---</v>
          </cell>
          <cell r="D14">
            <v>0.71</v>
          </cell>
          <cell r="E14">
            <v>1.4</v>
          </cell>
          <cell r="F14">
            <v>6.4</v>
          </cell>
          <cell r="G14">
            <v>8</v>
          </cell>
        </row>
        <row r="15">
          <cell r="B15">
            <v>31.103476799999999</v>
          </cell>
          <cell r="C15" t="str">
            <v>---</v>
          </cell>
          <cell r="D15">
            <v>0.45</v>
          </cell>
          <cell r="E15">
            <v>0.91</v>
          </cell>
          <cell r="F15">
            <v>4.2</v>
          </cell>
          <cell r="G15">
            <v>4.2</v>
          </cell>
        </row>
        <row r="16">
          <cell r="B16">
            <v>15.5517384</v>
          </cell>
          <cell r="C16" t="str">
            <v>---</v>
          </cell>
          <cell r="D16">
            <v>0.31</v>
          </cell>
          <cell r="E16">
            <v>0.62</v>
          </cell>
          <cell r="F16">
            <v>2.6</v>
          </cell>
          <cell r="G16">
            <v>2.6</v>
          </cell>
        </row>
        <row r="17">
          <cell r="B17">
            <v>9.3310430399999991</v>
          </cell>
          <cell r="C17" t="str">
            <v>---</v>
          </cell>
          <cell r="D17">
            <v>0.24</v>
          </cell>
          <cell r="E17">
            <v>0.49</v>
          </cell>
          <cell r="F17">
            <v>1.9</v>
          </cell>
          <cell r="G17">
            <v>2.4</v>
          </cell>
        </row>
        <row r="18">
          <cell r="B18">
            <v>6.2206953600000006</v>
          </cell>
          <cell r="C18" t="str">
            <v>---</v>
          </cell>
          <cell r="D18">
            <v>0.2</v>
          </cell>
          <cell r="E18">
            <v>0.4</v>
          </cell>
          <cell r="F18">
            <v>1.5</v>
          </cell>
          <cell r="G18">
            <v>2.2999999999999998</v>
          </cell>
        </row>
        <row r="19">
          <cell r="B19">
            <v>3.1103476800000003</v>
          </cell>
          <cell r="C19" t="str">
            <v>---</v>
          </cell>
          <cell r="D19">
            <v>0.15</v>
          </cell>
          <cell r="E19">
            <v>0.3</v>
          </cell>
          <cell r="F19">
            <v>0.97</v>
          </cell>
          <cell r="G19">
            <v>2</v>
          </cell>
        </row>
        <row r="20">
          <cell r="B20">
            <v>1.5551738400000001</v>
          </cell>
          <cell r="C20" t="str">
            <v>---</v>
          </cell>
          <cell r="D20">
            <v>0.12</v>
          </cell>
          <cell r="E20">
            <v>0.23</v>
          </cell>
          <cell r="F20">
            <v>0.65</v>
          </cell>
          <cell r="G20">
            <v>2</v>
          </cell>
        </row>
        <row r="21">
          <cell r="B21">
            <v>0.933104304</v>
          </cell>
          <cell r="C21" t="str">
            <v>---</v>
          </cell>
          <cell r="D21">
            <v>9.7000000000000003E-2</v>
          </cell>
          <cell r="E21">
            <v>0.19</v>
          </cell>
          <cell r="F21">
            <v>0.49</v>
          </cell>
          <cell r="G21">
            <v>2</v>
          </cell>
        </row>
        <row r="22">
          <cell r="B22">
            <v>0.62206953600000003</v>
          </cell>
          <cell r="C22" t="str">
            <v>---</v>
          </cell>
          <cell r="D22">
            <v>8.4000000000000005E-2</v>
          </cell>
          <cell r="E22">
            <v>0.17</v>
          </cell>
          <cell r="F22">
            <v>0.41</v>
          </cell>
          <cell r="G22">
            <v>1.1000000000000001</v>
          </cell>
        </row>
        <row r="23">
          <cell r="B23">
            <v>0.31103476800000002</v>
          </cell>
          <cell r="C23" t="str">
            <v>---</v>
          </cell>
          <cell r="D23">
            <v>7.0999999999999994E-2</v>
          </cell>
          <cell r="E23">
            <v>0.14000000000000001</v>
          </cell>
          <cell r="F23">
            <v>0.31</v>
          </cell>
          <cell r="G23">
            <v>1</v>
          </cell>
        </row>
        <row r="24">
          <cell r="B24">
            <v>0.15551738400000001</v>
          </cell>
          <cell r="C24" t="str">
            <v>---</v>
          </cell>
          <cell r="D24">
            <v>5.6000000000000001E-2</v>
          </cell>
          <cell r="E24">
            <v>0.11</v>
          </cell>
          <cell r="F24">
            <v>0.23</v>
          </cell>
          <cell r="G24">
            <v>1</v>
          </cell>
        </row>
        <row r="25">
          <cell r="B25">
            <v>9.3310430400000005E-2</v>
          </cell>
          <cell r="C25" t="str">
            <v>---</v>
          </cell>
          <cell r="D25">
            <v>4.9000000000000002E-2</v>
          </cell>
          <cell r="E25">
            <v>9.7000000000000003E-2</v>
          </cell>
          <cell r="F25">
            <v>0.19</v>
          </cell>
          <cell r="G25">
            <v>1</v>
          </cell>
        </row>
        <row r="26">
          <cell r="B26">
            <v>6.2206953599999996E-2</v>
          </cell>
          <cell r="C26" t="str">
            <v>---</v>
          </cell>
          <cell r="D26">
            <v>4.3999999999999997E-2</v>
          </cell>
          <cell r="E26">
            <v>9.0999999999999998E-2</v>
          </cell>
          <cell r="F26">
            <v>0.17</v>
          </cell>
          <cell r="G26">
            <v>0.5</v>
          </cell>
        </row>
        <row r="27">
          <cell r="B27">
            <v>3.1103476799999998E-2</v>
          </cell>
          <cell r="C27" t="str">
            <v>---</v>
          </cell>
          <cell r="D27">
            <v>3.7999999999999999E-2</v>
          </cell>
          <cell r="E27">
            <v>7.8E-2</v>
          </cell>
          <cell r="F27">
            <v>0.14000000000000001</v>
          </cell>
          <cell r="G27">
            <v>0.5</v>
          </cell>
        </row>
        <row r="28">
          <cell r="B28">
            <v>1.5551738399999999E-2</v>
          </cell>
          <cell r="C28" t="str">
            <v>---</v>
          </cell>
          <cell r="D28">
            <v>3.3000000000000002E-2</v>
          </cell>
          <cell r="E28">
            <v>6.5000000000000002E-2</v>
          </cell>
          <cell r="F28">
            <v>0.11</v>
          </cell>
          <cell r="G28">
            <v>0.5</v>
          </cell>
        </row>
        <row r="29">
          <cell r="B29">
            <v>9.3310430399999988E-3</v>
          </cell>
          <cell r="C29" t="str">
            <v>---</v>
          </cell>
          <cell r="D29">
            <v>0.03</v>
          </cell>
          <cell r="E29">
            <v>0.06</v>
          </cell>
          <cell r="F29">
            <v>9.7000000000000003E-2</v>
          </cell>
          <cell r="G29">
            <v>0.5</v>
          </cell>
        </row>
        <row r="30">
          <cell r="B30">
            <v>6.2206953600000003E-3</v>
          </cell>
          <cell r="C30" t="str">
            <v>---</v>
          </cell>
          <cell r="D30">
            <v>2.8000000000000001E-2</v>
          </cell>
          <cell r="E30">
            <v>5.6000000000000001E-2</v>
          </cell>
          <cell r="F30">
            <v>8.4000000000000005E-2</v>
          </cell>
          <cell r="G30">
            <v>0.5</v>
          </cell>
        </row>
        <row r="31">
          <cell r="B31">
            <v>3.1103476800000002E-3</v>
          </cell>
          <cell r="C31" t="str">
            <v>---</v>
          </cell>
          <cell r="D31">
            <v>2.5999999999999999E-2</v>
          </cell>
          <cell r="E31">
            <v>5.1999999999999998E-2</v>
          </cell>
          <cell r="F31">
            <v>7.0999999999999994E-2</v>
          </cell>
          <cell r="G31">
            <v>0.5</v>
          </cell>
        </row>
      </sheetData>
      <sheetData sheetId="10">
        <row r="3">
          <cell r="B3">
            <v>15551.738399999998</v>
          </cell>
          <cell r="C3">
            <v>310</v>
          </cell>
          <cell r="D3">
            <v>780</v>
          </cell>
          <cell r="E3">
            <v>1500</v>
          </cell>
        </row>
        <row r="4">
          <cell r="B4">
            <v>7775.8691999999992</v>
          </cell>
          <cell r="C4">
            <v>160</v>
          </cell>
          <cell r="D4">
            <v>390</v>
          </cell>
          <cell r="E4">
            <v>780</v>
          </cell>
        </row>
        <row r="5">
          <cell r="B5">
            <v>4665.5215199999993</v>
          </cell>
          <cell r="C5">
            <v>91</v>
          </cell>
          <cell r="D5">
            <v>230</v>
          </cell>
          <cell r="E5">
            <v>460</v>
          </cell>
        </row>
        <row r="6">
          <cell r="B6">
            <v>3110.3476799999999</v>
          </cell>
          <cell r="C6">
            <v>62</v>
          </cell>
          <cell r="D6">
            <v>160</v>
          </cell>
          <cell r="E6">
            <v>320</v>
          </cell>
        </row>
        <row r="7">
          <cell r="B7">
            <v>1555.1738399999999</v>
          </cell>
          <cell r="C7">
            <v>31</v>
          </cell>
          <cell r="D7">
            <v>78</v>
          </cell>
          <cell r="E7">
            <v>160</v>
          </cell>
        </row>
        <row r="8">
          <cell r="B8">
            <v>777.58691999999996</v>
          </cell>
          <cell r="C8">
            <v>16</v>
          </cell>
          <cell r="D8">
            <v>41</v>
          </cell>
          <cell r="E8">
            <v>82</v>
          </cell>
        </row>
        <row r="9">
          <cell r="B9">
            <v>466.55215199999998</v>
          </cell>
          <cell r="C9">
            <v>9.1</v>
          </cell>
          <cell r="D9">
            <v>28</v>
          </cell>
          <cell r="E9">
            <v>56</v>
          </cell>
        </row>
        <row r="10">
          <cell r="B10">
            <v>311.03476799999999</v>
          </cell>
          <cell r="C10">
            <v>6.2</v>
          </cell>
          <cell r="D10">
            <v>21</v>
          </cell>
          <cell r="E10">
            <v>42</v>
          </cell>
        </row>
        <row r="11">
          <cell r="B11">
            <v>155.51738399999999</v>
          </cell>
          <cell r="C11">
            <v>3.1</v>
          </cell>
          <cell r="D11">
            <v>12</v>
          </cell>
          <cell r="E11">
            <v>24</v>
          </cell>
        </row>
        <row r="12">
          <cell r="B12">
            <v>77.758691999999996</v>
          </cell>
          <cell r="C12">
            <v>1.6</v>
          </cell>
          <cell r="D12">
            <v>7.8</v>
          </cell>
          <cell r="E12">
            <v>16</v>
          </cell>
        </row>
        <row r="13">
          <cell r="B13">
            <v>46.655215200000001</v>
          </cell>
          <cell r="C13">
            <v>1.2</v>
          </cell>
          <cell r="D13">
            <v>5.3</v>
          </cell>
          <cell r="E13">
            <v>11</v>
          </cell>
        </row>
        <row r="14">
          <cell r="B14">
            <v>31.103476799999999</v>
          </cell>
          <cell r="C14">
            <v>0.91</v>
          </cell>
          <cell r="D14">
            <v>4.2</v>
          </cell>
          <cell r="E14">
            <v>8.4</v>
          </cell>
        </row>
        <row r="15">
          <cell r="B15">
            <v>15.5517384</v>
          </cell>
          <cell r="C15">
            <v>0.62</v>
          </cell>
          <cell r="D15">
            <v>2.6</v>
          </cell>
          <cell r="E15">
            <v>5.2</v>
          </cell>
        </row>
        <row r="16">
          <cell r="B16">
            <v>7.7758691999999998</v>
          </cell>
          <cell r="C16">
            <v>0.44</v>
          </cell>
          <cell r="D16">
            <v>1.7</v>
          </cell>
          <cell r="E16">
            <v>3.4</v>
          </cell>
        </row>
        <row r="17">
          <cell r="B17">
            <v>4.6655215199999995</v>
          </cell>
          <cell r="C17">
            <v>0.34</v>
          </cell>
          <cell r="D17">
            <v>1.3</v>
          </cell>
          <cell r="E17">
            <v>2.6</v>
          </cell>
        </row>
        <row r="18">
          <cell r="B18">
            <v>3.1103476799999998</v>
          </cell>
          <cell r="C18">
            <v>0.3</v>
          </cell>
          <cell r="D18">
            <v>0.97</v>
          </cell>
          <cell r="E18">
            <v>1.9</v>
          </cell>
        </row>
        <row r="19">
          <cell r="B19">
            <v>1.5551738399999999</v>
          </cell>
          <cell r="C19">
            <v>0.23</v>
          </cell>
          <cell r="D19">
            <v>0.65</v>
          </cell>
          <cell r="E19">
            <v>1.3</v>
          </cell>
        </row>
      </sheetData>
      <sheetData sheetId="11">
        <row r="3">
          <cell r="B3">
            <v>647.98910000000001</v>
          </cell>
          <cell r="C3">
            <v>13</v>
          </cell>
          <cell r="D3">
            <v>36</v>
          </cell>
          <cell r="E3">
            <v>65</v>
          </cell>
        </row>
        <row r="4">
          <cell r="B4">
            <v>323.99455</v>
          </cell>
          <cell r="C4">
            <v>6.5</v>
          </cell>
          <cell r="D4">
            <v>22</v>
          </cell>
          <cell r="E4">
            <v>32</v>
          </cell>
        </row>
        <row r="5">
          <cell r="B5">
            <v>194.39672999999999</v>
          </cell>
          <cell r="C5">
            <v>3.9</v>
          </cell>
          <cell r="D5">
            <v>15</v>
          </cell>
          <cell r="E5">
            <v>19</v>
          </cell>
        </row>
        <row r="6">
          <cell r="B6">
            <v>129.59782000000001</v>
          </cell>
          <cell r="C6">
            <v>2.6</v>
          </cell>
          <cell r="D6">
            <v>11</v>
          </cell>
          <cell r="E6">
            <v>13</v>
          </cell>
        </row>
        <row r="7">
          <cell r="B7">
            <v>64.798910000000006</v>
          </cell>
          <cell r="C7">
            <v>1.4</v>
          </cell>
          <cell r="D7">
            <v>6.3</v>
          </cell>
          <cell r="E7">
            <v>7.9</v>
          </cell>
        </row>
        <row r="8">
          <cell r="B8">
            <v>32.399455000000003</v>
          </cell>
          <cell r="C8">
            <v>0.91</v>
          </cell>
          <cell r="D8">
            <v>3.2</v>
          </cell>
          <cell r="E8">
            <v>5.2</v>
          </cell>
        </row>
        <row r="9">
          <cell r="B9">
            <v>19.439672999999999</v>
          </cell>
          <cell r="C9">
            <v>0.65</v>
          </cell>
          <cell r="D9">
            <v>2.2999999999999998</v>
          </cell>
          <cell r="E9">
            <v>2.9</v>
          </cell>
        </row>
        <row r="10">
          <cell r="B10">
            <v>12.959782000000001</v>
          </cell>
          <cell r="C10">
            <v>0.56999999999999995</v>
          </cell>
          <cell r="D10">
            <v>1.4</v>
          </cell>
          <cell r="E10">
            <v>2.2999999999999998</v>
          </cell>
        </row>
        <row r="11">
          <cell r="B11">
            <v>6.4798910000000003</v>
          </cell>
          <cell r="C11">
            <v>0.4</v>
          </cell>
          <cell r="D11">
            <v>0.91</v>
          </cell>
          <cell r="E11">
            <v>2</v>
          </cell>
        </row>
        <row r="12">
          <cell r="B12">
            <v>3.2399455000000001</v>
          </cell>
          <cell r="C12">
            <v>0.3</v>
          </cell>
          <cell r="D12">
            <v>0.91</v>
          </cell>
          <cell r="E12">
            <v>2</v>
          </cell>
        </row>
        <row r="13">
          <cell r="B13">
            <v>1.9439673</v>
          </cell>
          <cell r="C13">
            <v>0.25</v>
          </cell>
          <cell r="D13">
            <v>0.71</v>
          </cell>
          <cell r="E13">
            <v>2</v>
          </cell>
        </row>
        <row r="14">
          <cell r="B14">
            <v>1.2959782</v>
          </cell>
          <cell r="C14">
            <v>0.21</v>
          </cell>
          <cell r="D14">
            <v>0.57999999999999996</v>
          </cell>
          <cell r="E14">
            <v>2</v>
          </cell>
        </row>
        <row r="15">
          <cell r="B15">
            <v>0.64798909999999998</v>
          </cell>
          <cell r="C15">
            <v>0.17</v>
          </cell>
          <cell r="D15">
            <v>0.42</v>
          </cell>
          <cell r="E15">
            <v>1.3</v>
          </cell>
        </row>
        <row r="16">
          <cell r="B16">
            <v>0.32399454999999999</v>
          </cell>
          <cell r="C16">
            <v>0.14000000000000001</v>
          </cell>
          <cell r="D16">
            <v>0.31</v>
          </cell>
          <cell r="E16">
            <v>1</v>
          </cell>
        </row>
        <row r="17">
          <cell r="B17">
            <v>0.19439673000000002</v>
          </cell>
          <cell r="C17">
            <v>0.12</v>
          </cell>
          <cell r="D17">
            <v>0.25</v>
          </cell>
          <cell r="E17">
            <v>1</v>
          </cell>
        </row>
        <row r="18">
          <cell r="B18">
            <v>0.12959782</v>
          </cell>
          <cell r="C18">
            <v>0.11</v>
          </cell>
          <cell r="D18">
            <v>0.22</v>
          </cell>
          <cell r="E18">
            <v>1</v>
          </cell>
        </row>
        <row r="19">
          <cell r="B19">
            <v>6.4798910000000001E-2</v>
          </cell>
          <cell r="C19">
            <v>9.0999999999999998E-2</v>
          </cell>
          <cell r="D19">
            <v>0.17</v>
          </cell>
          <cell r="E19">
            <v>0.65</v>
          </cell>
        </row>
        <row r="20">
          <cell r="B20">
            <v>3.2399455000000001E-2</v>
          </cell>
          <cell r="C20">
            <v>7.8E-2</v>
          </cell>
          <cell r="D20">
            <v>0.14000000000000001</v>
          </cell>
          <cell r="E20">
            <v>0.5</v>
          </cell>
        </row>
        <row r="21">
          <cell r="B21">
            <v>1.9439673000000001E-2</v>
          </cell>
          <cell r="C21">
            <v>7.0999999999999994E-2</v>
          </cell>
          <cell r="D21">
            <v>0.12</v>
          </cell>
          <cell r="E21">
            <v>0.5</v>
          </cell>
        </row>
        <row r="22">
          <cell r="B22">
            <v>1.2959782000000001E-2</v>
          </cell>
          <cell r="C22">
            <v>6.4000000000000001E-2</v>
          </cell>
          <cell r="D22">
            <v>0.11</v>
          </cell>
          <cell r="E22">
            <v>0.5</v>
          </cell>
        </row>
        <row r="23">
          <cell r="B23">
            <v>6.4798910000000006E-3</v>
          </cell>
          <cell r="C23">
            <v>5.6000000000000001E-2</v>
          </cell>
          <cell r="D23">
            <v>9.0999999999999998E-2</v>
          </cell>
          <cell r="E23">
            <v>0.28999999999999998</v>
          </cell>
        </row>
        <row r="24">
          <cell r="B24">
            <v>3.2399455000000003E-3</v>
          </cell>
          <cell r="C24">
            <v>5.1999999999999998E-2</v>
          </cell>
          <cell r="D24">
            <v>7.0999999999999994E-2</v>
          </cell>
          <cell r="E24">
            <v>0.2</v>
          </cell>
        </row>
        <row r="25">
          <cell r="B25">
            <v>1.9439672999999999E-3</v>
          </cell>
          <cell r="C25">
            <v>5.0999999999999997E-2</v>
          </cell>
          <cell r="D25">
            <v>7.0999999999999994E-2</v>
          </cell>
          <cell r="E25">
            <v>0.2</v>
          </cell>
        </row>
        <row r="26">
          <cell r="B26">
            <v>1.2959782E-3</v>
          </cell>
          <cell r="C26">
            <v>0.05</v>
          </cell>
          <cell r="D26">
            <v>7.0999999999999994E-2</v>
          </cell>
          <cell r="E26">
            <v>0.2</v>
          </cell>
        </row>
        <row r="27">
          <cell r="B27">
            <v>6.479891E-4</v>
          </cell>
          <cell r="C27">
            <v>0.05</v>
          </cell>
          <cell r="D27">
            <v>7.0999999999999994E-2</v>
          </cell>
          <cell r="E27">
            <v>0.2</v>
          </cell>
        </row>
      </sheetData>
      <sheetData sheetId="12"/>
      <sheetData sheetId="13">
        <row r="3">
          <cell r="B3">
            <v>373.24172160000001</v>
          </cell>
          <cell r="C3">
            <v>7.5</v>
          </cell>
          <cell r="D3">
            <v>15</v>
          </cell>
          <cell r="E3">
            <v>45</v>
          </cell>
          <cell r="F3">
            <v>290</v>
          </cell>
        </row>
        <row r="4">
          <cell r="B4">
            <v>311.03476799999999</v>
          </cell>
          <cell r="C4">
            <v>4.5</v>
          </cell>
          <cell r="D4">
            <v>9</v>
          </cell>
          <cell r="E4">
            <v>36</v>
          </cell>
          <cell r="F4">
            <v>280</v>
          </cell>
        </row>
        <row r="5">
          <cell r="B5">
            <v>186.6208608</v>
          </cell>
          <cell r="C5">
            <v>3.5</v>
          </cell>
          <cell r="D5">
            <v>7</v>
          </cell>
          <cell r="E5">
            <v>23</v>
          </cell>
          <cell r="F5">
            <v>184</v>
          </cell>
        </row>
        <row r="6">
          <cell r="B6">
            <v>155.51738399999999</v>
          </cell>
          <cell r="C6">
            <v>3</v>
          </cell>
          <cell r="D6">
            <v>6</v>
          </cell>
          <cell r="E6">
            <v>18</v>
          </cell>
          <cell r="F6">
            <v>144</v>
          </cell>
        </row>
        <row r="7">
          <cell r="B7">
            <v>124.4139072</v>
          </cell>
          <cell r="C7">
            <v>2.5</v>
          </cell>
          <cell r="D7">
            <v>5</v>
          </cell>
          <cell r="E7">
            <v>16</v>
          </cell>
          <cell r="F7">
            <v>128</v>
          </cell>
        </row>
        <row r="8">
          <cell r="B8">
            <v>93.310430400000001</v>
          </cell>
          <cell r="C8">
            <v>1.5</v>
          </cell>
          <cell r="D8">
            <v>3</v>
          </cell>
          <cell r="E8">
            <v>11</v>
          </cell>
          <cell r="F8">
            <v>110</v>
          </cell>
        </row>
        <row r="9">
          <cell r="B9">
            <v>62.206953599999999</v>
          </cell>
          <cell r="C9">
            <v>1</v>
          </cell>
          <cell r="D9">
            <v>2</v>
          </cell>
          <cell r="E9">
            <v>9.1</v>
          </cell>
          <cell r="F9">
            <v>91</v>
          </cell>
        </row>
        <row r="10">
          <cell r="B10">
            <v>31.103476799999999</v>
          </cell>
          <cell r="C10">
            <v>0.6</v>
          </cell>
          <cell r="D10">
            <v>1.2</v>
          </cell>
          <cell r="E10">
            <v>4.5</v>
          </cell>
          <cell r="F10">
            <v>40</v>
          </cell>
        </row>
        <row r="11">
          <cell r="B11">
            <v>23.3276076</v>
          </cell>
          <cell r="C11">
            <v>0.4</v>
          </cell>
          <cell r="D11">
            <v>0.8</v>
          </cell>
          <cell r="E11">
            <v>3.6</v>
          </cell>
          <cell r="F11">
            <v>36</v>
          </cell>
        </row>
        <row r="12">
          <cell r="B12">
            <v>19.439672999999999</v>
          </cell>
          <cell r="C12">
            <v>0.3</v>
          </cell>
          <cell r="D12">
            <v>0.6</v>
          </cell>
          <cell r="E12">
            <v>2.7</v>
          </cell>
          <cell r="F12">
            <v>27</v>
          </cell>
        </row>
        <row r="13">
          <cell r="B13">
            <v>15.5517384</v>
          </cell>
          <cell r="C13">
            <v>0.27</v>
          </cell>
          <cell r="D13">
            <v>0.55000000000000004</v>
          </cell>
          <cell r="E13">
            <v>2.2999999999999998</v>
          </cell>
          <cell r="F13">
            <v>23</v>
          </cell>
        </row>
        <row r="14">
          <cell r="B14">
            <v>11.6638038</v>
          </cell>
          <cell r="C14">
            <v>0.2</v>
          </cell>
          <cell r="D14">
            <v>0.4</v>
          </cell>
          <cell r="E14">
            <v>1.8</v>
          </cell>
          <cell r="F14">
            <v>18</v>
          </cell>
        </row>
        <row r="15">
          <cell r="B15">
            <v>7.7758691999999998</v>
          </cell>
          <cell r="C15">
            <v>0.2</v>
          </cell>
          <cell r="D15">
            <v>0.4</v>
          </cell>
          <cell r="E15">
            <v>1.8</v>
          </cell>
          <cell r="F15">
            <v>18</v>
          </cell>
        </row>
        <row r="16">
          <cell r="B16">
            <v>3.8879345999999999</v>
          </cell>
          <cell r="C16">
            <v>0.17</v>
          </cell>
          <cell r="D16">
            <v>0.35</v>
          </cell>
          <cell r="E16">
            <v>1.4</v>
          </cell>
          <cell r="F16">
            <v>14</v>
          </cell>
        </row>
        <row r="17">
          <cell r="B17">
            <v>2.5919563999999999</v>
          </cell>
          <cell r="C17">
            <v>0.17</v>
          </cell>
          <cell r="D17">
            <v>0.35</v>
          </cell>
          <cell r="E17">
            <v>1.4</v>
          </cell>
          <cell r="F17">
            <v>14</v>
          </cell>
        </row>
        <row r="18">
          <cell r="B18">
            <v>1.2959782</v>
          </cell>
          <cell r="C18">
            <v>0.15</v>
          </cell>
          <cell r="D18">
            <v>0.3</v>
          </cell>
          <cell r="E18">
            <v>0.91</v>
          </cell>
          <cell r="F18">
            <v>9.1</v>
          </cell>
        </row>
      </sheetData>
      <sheetData sheetId="14">
        <row r="3">
          <cell r="B3">
            <v>5000000</v>
          </cell>
          <cell r="C3" t="str">
            <v>---</v>
          </cell>
          <cell r="D3" t="str">
            <v>---</v>
          </cell>
          <cell r="E3">
            <v>25000</v>
          </cell>
          <cell r="F3">
            <v>80000</v>
          </cell>
          <cell r="G3">
            <v>250000</v>
          </cell>
          <cell r="H3">
            <v>500000</v>
          </cell>
          <cell r="I3">
            <v>800000</v>
          </cell>
          <cell r="J3">
            <v>1600000</v>
          </cell>
          <cell r="K3">
            <v>2500000</v>
          </cell>
        </row>
        <row r="4">
          <cell r="B4">
            <v>3000000</v>
          </cell>
          <cell r="C4" t="str">
            <v>---</v>
          </cell>
          <cell r="D4" t="str">
            <v>---</v>
          </cell>
          <cell r="E4">
            <v>15000</v>
          </cell>
          <cell r="F4">
            <v>46667</v>
          </cell>
          <cell r="G4">
            <v>150000</v>
          </cell>
          <cell r="H4">
            <v>300000</v>
          </cell>
          <cell r="I4">
            <v>466667</v>
          </cell>
          <cell r="J4">
            <v>933333</v>
          </cell>
          <cell r="K4">
            <v>1500000</v>
          </cell>
        </row>
        <row r="5">
          <cell r="B5">
            <v>2000000</v>
          </cell>
          <cell r="C5" t="str">
            <v>---</v>
          </cell>
          <cell r="D5" t="str">
            <v>---</v>
          </cell>
          <cell r="E5">
            <v>10000</v>
          </cell>
          <cell r="F5">
            <v>30000</v>
          </cell>
          <cell r="G5">
            <v>100000</v>
          </cell>
          <cell r="H5">
            <v>200000</v>
          </cell>
          <cell r="I5">
            <v>300000</v>
          </cell>
          <cell r="J5">
            <v>600000</v>
          </cell>
          <cell r="K5">
            <v>1000000</v>
          </cell>
        </row>
        <row r="6">
          <cell r="B6">
            <v>1000000</v>
          </cell>
          <cell r="C6" t="str">
            <v>---</v>
          </cell>
          <cell r="D6">
            <v>1600</v>
          </cell>
          <cell r="E6">
            <v>5000</v>
          </cell>
          <cell r="F6">
            <v>16000</v>
          </cell>
          <cell r="G6">
            <v>50000</v>
          </cell>
          <cell r="H6">
            <v>100000</v>
          </cell>
          <cell r="I6">
            <v>160000</v>
          </cell>
          <cell r="J6">
            <v>300000</v>
          </cell>
          <cell r="K6">
            <v>500000</v>
          </cell>
        </row>
        <row r="7">
          <cell r="B7">
            <v>500000</v>
          </cell>
          <cell r="C7" t="str">
            <v>---</v>
          </cell>
          <cell r="D7">
            <v>800</v>
          </cell>
          <cell r="E7">
            <v>2500</v>
          </cell>
          <cell r="F7">
            <v>8000</v>
          </cell>
          <cell r="G7">
            <v>25000</v>
          </cell>
          <cell r="H7">
            <v>50000</v>
          </cell>
          <cell r="I7">
            <v>80000</v>
          </cell>
          <cell r="J7">
            <v>160000</v>
          </cell>
          <cell r="K7">
            <v>250000</v>
          </cell>
        </row>
        <row r="8">
          <cell r="B8">
            <v>300000</v>
          </cell>
          <cell r="C8" t="str">
            <v>---</v>
          </cell>
          <cell r="D8">
            <v>467</v>
          </cell>
          <cell r="E8">
            <v>1500</v>
          </cell>
          <cell r="F8">
            <v>4667</v>
          </cell>
          <cell r="G8">
            <v>15000</v>
          </cell>
          <cell r="H8">
            <v>30000</v>
          </cell>
          <cell r="I8">
            <v>46667</v>
          </cell>
          <cell r="J8">
            <v>93333</v>
          </cell>
          <cell r="K8">
            <v>150000</v>
          </cell>
        </row>
        <row r="9">
          <cell r="B9">
            <v>200000</v>
          </cell>
          <cell r="C9" t="str">
            <v>---</v>
          </cell>
          <cell r="D9">
            <v>300</v>
          </cell>
          <cell r="E9">
            <v>1000</v>
          </cell>
          <cell r="F9">
            <v>3000</v>
          </cell>
          <cell r="G9">
            <v>10000</v>
          </cell>
          <cell r="H9">
            <v>20000</v>
          </cell>
          <cell r="I9">
            <v>30000</v>
          </cell>
          <cell r="J9">
            <v>60000</v>
          </cell>
          <cell r="K9">
            <v>100000</v>
          </cell>
        </row>
        <row r="10">
          <cell r="B10">
            <v>100000</v>
          </cell>
          <cell r="C10" t="str">
            <v>---</v>
          </cell>
          <cell r="D10">
            <v>160</v>
          </cell>
          <cell r="E10">
            <v>500</v>
          </cell>
          <cell r="F10">
            <v>1600</v>
          </cell>
          <cell r="G10">
            <v>5000</v>
          </cell>
          <cell r="H10">
            <v>10000</v>
          </cell>
          <cell r="I10">
            <v>16000</v>
          </cell>
          <cell r="J10">
            <v>30000</v>
          </cell>
          <cell r="K10">
            <v>50000</v>
          </cell>
        </row>
        <row r="11">
          <cell r="B11">
            <v>50000</v>
          </cell>
          <cell r="C11">
            <v>25</v>
          </cell>
          <cell r="D11">
            <v>80</v>
          </cell>
          <cell r="E11">
            <v>250</v>
          </cell>
          <cell r="F11">
            <v>800</v>
          </cell>
          <cell r="G11">
            <v>2500</v>
          </cell>
          <cell r="H11">
            <v>5000</v>
          </cell>
          <cell r="I11">
            <v>8000</v>
          </cell>
          <cell r="J11">
            <v>16000</v>
          </cell>
          <cell r="K11">
            <v>25000</v>
          </cell>
        </row>
        <row r="12">
          <cell r="B12">
            <v>30000</v>
          </cell>
          <cell r="C12">
            <v>15</v>
          </cell>
          <cell r="D12">
            <v>47</v>
          </cell>
          <cell r="E12">
            <v>150</v>
          </cell>
          <cell r="F12">
            <v>467</v>
          </cell>
          <cell r="G12">
            <v>1500</v>
          </cell>
          <cell r="H12">
            <v>3000</v>
          </cell>
          <cell r="I12">
            <v>4667</v>
          </cell>
          <cell r="J12">
            <v>9334</v>
          </cell>
          <cell r="K12">
            <v>15000</v>
          </cell>
        </row>
        <row r="13">
          <cell r="B13">
            <v>25000</v>
          </cell>
          <cell r="C13">
            <v>12.5</v>
          </cell>
          <cell r="D13">
            <v>38.5</v>
          </cell>
          <cell r="E13">
            <v>125</v>
          </cell>
          <cell r="F13">
            <v>383.5</v>
          </cell>
          <cell r="G13">
            <v>1250</v>
          </cell>
          <cell r="H13" t="str">
            <v>---</v>
          </cell>
          <cell r="I13">
            <v>3833.5</v>
          </cell>
          <cell r="J13" t="str">
            <v>---</v>
          </cell>
          <cell r="K13">
            <v>12500</v>
          </cell>
        </row>
        <row r="14">
          <cell r="B14">
            <v>20000</v>
          </cell>
          <cell r="C14">
            <v>10</v>
          </cell>
          <cell r="D14">
            <v>30</v>
          </cell>
          <cell r="E14">
            <v>100</v>
          </cell>
          <cell r="F14">
            <v>300</v>
          </cell>
          <cell r="G14">
            <v>1000</v>
          </cell>
          <cell r="H14" t="str">
            <v>---</v>
          </cell>
          <cell r="I14">
            <v>3000</v>
          </cell>
          <cell r="J14" t="str">
            <v>---</v>
          </cell>
          <cell r="K14">
            <v>10000</v>
          </cell>
        </row>
        <row r="15">
          <cell r="B15">
            <v>10000</v>
          </cell>
          <cell r="C15">
            <v>5</v>
          </cell>
          <cell r="D15">
            <v>16</v>
          </cell>
          <cell r="E15">
            <v>50</v>
          </cell>
          <cell r="F15">
            <v>160</v>
          </cell>
          <cell r="G15">
            <v>500</v>
          </cell>
          <cell r="H15" t="str">
            <v>---</v>
          </cell>
          <cell r="I15">
            <v>1600</v>
          </cell>
          <cell r="J15" t="str">
            <v>---</v>
          </cell>
          <cell r="K15">
            <v>5000</v>
          </cell>
        </row>
        <row r="16">
          <cell r="B16">
            <v>5000</v>
          </cell>
          <cell r="C16">
            <v>2.5</v>
          </cell>
          <cell r="D16">
            <v>8</v>
          </cell>
          <cell r="E16">
            <v>25</v>
          </cell>
          <cell r="F16">
            <v>80</v>
          </cell>
          <cell r="G16">
            <v>250</v>
          </cell>
          <cell r="H16" t="str">
            <v>---</v>
          </cell>
          <cell r="I16">
            <v>800</v>
          </cell>
          <cell r="J16" t="str">
            <v>---</v>
          </cell>
          <cell r="K16">
            <v>2500</v>
          </cell>
        </row>
        <row r="17">
          <cell r="B17">
            <v>3000</v>
          </cell>
          <cell r="C17">
            <v>2</v>
          </cell>
          <cell r="D17">
            <v>5</v>
          </cell>
          <cell r="E17">
            <v>15</v>
          </cell>
          <cell r="F17">
            <v>47</v>
          </cell>
          <cell r="G17">
            <v>150</v>
          </cell>
          <cell r="H17" t="str">
            <v>---</v>
          </cell>
          <cell r="I17">
            <v>467</v>
          </cell>
          <cell r="J17" t="str">
            <v>---</v>
          </cell>
          <cell r="K17">
            <v>1500</v>
          </cell>
        </row>
        <row r="18">
          <cell r="B18">
            <v>2000</v>
          </cell>
          <cell r="C18">
            <v>1</v>
          </cell>
          <cell r="D18">
            <v>3</v>
          </cell>
          <cell r="E18">
            <v>10</v>
          </cell>
          <cell r="F18">
            <v>30</v>
          </cell>
          <cell r="G18">
            <v>100</v>
          </cell>
          <cell r="H18" t="str">
            <v>---</v>
          </cell>
          <cell r="I18">
            <v>300</v>
          </cell>
          <cell r="J18" t="str">
            <v>---</v>
          </cell>
          <cell r="K18">
            <v>1000</v>
          </cell>
        </row>
        <row r="19">
          <cell r="B19">
            <v>1000</v>
          </cell>
          <cell r="C19">
            <v>0.5</v>
          </cell>
          <cell r="D19">
            <v>1.6</v>
          </cell>
          <cell r="E19">
            <v>5</v>
          </cell>
          <cell r="F19">
            <v>16</v>
          </cell>
          <cell r="G19">
            <v>50</v>
          </cell>
          <cell r="H19" t="str">
            <v>---</v>
          </cell>
          <cell r="I19">
            <v>160</v>
          </cell>
          <cell r="J19" t="str">
            <v>---</v>
          </cell>
          <cell r="K19">
            <v>500</v>
          </cell>
        </row>
        <row r="20">
          <cell r="B20">
            <v>500</v>
          </cell>
          <cell r="C20">
            <v>0.25</v>
          </cell>
          <cell r="D20">
            <v>0.8</v>
          </cell>
          <cell r="E20">
            <v>2.5</v>
          </cell>
          <cell r="F20">
            <v>8</v>
          </cell>
          <cell r="G20">
            <v>25</v>
          </cell>
          <cell r="H20" t="str">
            <v>---</v>
          </cell>
          <cell r="I20">
            <v>80</v>
          </cell>
          <cell r="J20" t="str">
            <v>---</v>
          </cell>
          <cell r="K20">
            <v>250</v>
          </cell>
        </row>
        <row r="21">
          <cell r="B21">
            <v>300</v>
          </cell>
          <cell r="C21">
            <v>0.15</v>
          </cell>
          <cell r="D21">
            <v>0.46700000000000003</v>
          </cell>
          <cell r="E21">
            <v>1.5</v>
          </cell>
          <cell r="F21">
            <v>4.67</v>
          </cell>
          <cell r="G21">
            <v>15</v>
          </cell>
          <cell r="H21" t="str">
            <v>---</v>
          </cell>
          <cell r="I21">
            <v>46.67</v>
          </cell>
          <cell r="J21" t="str">
            <v>---</v>
          </cell>
          <cell r="K21">
            <v>150</v>
          </cell>
        </row>
        <row r="22">
          <cell r="B22">
            <v>200</v>
          </cell>
          <cell r="C22">
            <v>0.1</v>
          </cell>
          <cell r="D22">
            <v>0.3</v>
          </cell>
          <cell r="E22">
            <v>1</v>
          </cell>
          <cell r="F22">
            <v>3</v>
          </cell>
          <cell r="G22">
            <v>10</v>
          </cell>
          <cell r="H22" t="str">
            <v>---</v>
          </cell>
          <cell r="I22">
            <v>30</v>
          </cell>
          <cell r="J22" t="str">
            <v>---</v>
          </cell>
          <cell r="K22">
            <v>100</v>
          </cell>
        </row>
        <row r="23">
          <cell r="B23">
            <v>100</v>
          </cell>
          <cell r="C23">
            <v>0.05</v>
          </cell>
          <cell r="D23">
            <v>0.16</v>
          </cell>
          <cell r="E23">
            <v>0.5</v>
          </cell>
          <cell r="F23">
            <v>1.6</v>
          </cell>
          <cell r="G23">
            <v>5</v>
          </cell>
          <cell r="H23" t="str">
            <v>---</v>
          </cell>
          <cell r="I23">
            <v>16</v>
          </cell>
          <cell r="J23" t="str">
            <v>---</v>
          </cell>
          <cell r="K23">
            <v>50</v>
          </cell>
        </row>
        <row r="24">
          <cell r="B24">
            <v>50</v>
          </cell>
          <cell r="C24">
            <v>0.03</v>
          </cell>
          <cell r="D24">
            <v>0.1</v>
          </cell>
          <cell r="E24">
            <v>0.3</v>
          </cell>
          <cell r="F24">
            <v>1</v>
          </cell>
          <cell r="G24">
            <v>3</v>
          </cell>
          <cell r="H24" t="str">
            <v>---</v>
          </cell>
          <cell r="I24">
            <v>10</v>
          </cell>
          <cell r="J24" t="str">
            <v>---</v>
          </cell>
          <cell r="K24">
            <v>30</v>
          </cell>
        </row>
        <row r="25">
          <cell r="B25">
            <v>30</v>
          </cell>
          <cell r="C25">
            <v>2.7E-2</v>
          </cell>
          <cell r="D25">
            <v>8.6999999999999994E-2</v>
          </cell>
          <cell r="E25">
            <v>0.27</v>
          </cell>
          <cell r="F25">
            <v>0.87</v>
          </cell>
          <cell r="G25">
            <v>2.7</v>
          </cell>
          <cell r="H25" t="str">
            <v>---</v>
          </cell>
          <cell r="I25">
            <v>8.6999999999999993</v>
          </cell>
          <cell r="J25" t="str">
            <v>---</v>
          </cell>
          <cell r="K25">
            <v>27</v>
          </cell>
        </row>
        <row r="26">
          <cell r="B26">
            <v>20</v>
          </cell>
          <cell r="C26">
            <v>2.5000000000000001E-2</v>
          </cell>
          <cell r="D26">
            <v>0.08</v>
          </cell>
          <cell r="E26">
            <v>0.25</v>
          </cell>
          <cell r="F26">
            <v>0.8</v>
          </cell>
          <cell r="G26">
            <v>2.5</v>
          </cell>
          <cell r="H26" t="str">
            <v>---</v>
          </cell>
          <cell r="I26">
            <v>8</v>
          </cell>
          <cell r="J26" t="str">
            <v>---</v>
          </cell>
          <cell r="K26">
            <v>25</v>
          </cell>
        </row>
        <row r="27">
          <cell r="B27">
            <v>10</v>
          </cell>
          <cell r="C27">
            <v>0.02</v>
          </cell>
          <cell r="D27">
            <v>0.06</v>
          </cell>
          <cell r="E27">
            <v>0.2</v>
          </cell>
          <cell r="F27">
            <v>0.6</v>
          </cell>
          <cell r="G27">
            <v>2</v>
          </cell>
          <cell r="H27" t="str">
            <v>---</v>
          </cell>
          <cell r="I27">
            <v>6</v>
          </cell>
          <cell r="J27" t="str">
            <v>---</v>
          </cell>
          <cell r="K27">
            <v>20</v>
          </cell>
        </row>
        <row r="28">
          <cell r="B28">
            <v>5</v>
          </cell>
          <cell r="C28">
            <v>1.6E-2</v>
          </cell>
          <cell r="D28">
            <v>0.05</v>
          </cell>
          <cell r="E28">
            <v>0.16</v>
          </cell>
          <cell r="F28">
            <v>0.5</v>
          </cell>
          <cell r="G28">
            <v>1.6</v>
          </cell>
          <cell r="H28" t="str">
            <v>---</v>
          </cell>
          <cell r="I28">
            <v>5</v>
          </cell>
          <cell r="J28" t="str">
            <v>---</v>
          </cell>
          <cell r="K28">
            <v>16</v>
          </cell>
        </row>
        <row r="29">
          <cell r="B29">
            <v>3</v>
          </cell>
          <cell r="C29">
            <v>1.2999999999999999E-2</v>
          </cell>
          <cell r="D29">
            <v>4.2999999999999997E-2</v>
          </cell>
          <cell r="E29">
            <v>0.13</v>
          </cell>
          <cell r="F29">
            <v>0.43</v>
          </cell>
          <cell r="G29">
            <v>1.3</v>
          </cell>
          <cell r="H29" t="str">
            <v>---</v>
          </cell>
          <cell r="I29">
            <v>4.3</v>
          </cell>
          <cell r="J29" t="str">
            <v>---</v>
          </cell>
          <cell r="K29">
            <v>13</v>
          </cell>
        </row>
        <row r="30">
          <cell r="B30">
            <v>2</v>
          </cell>
          <cell r="C30">
            <v>1.2E-2</v>
          </cell>
          <cell r="D30">
            <v>0.04</v>
          </cell>
          <cell r="E30">
            <v>0.12</v>
          </cell>
          <cell r="F30">
            <v>0.4</v>
          </cell>
          <cell r="G30">
            <v>1.2</v>
          </cell>
          <cell r="H30" t="str">
            <v>---</v>
          </cell>
          <cell r="I30">
            <v>4</v>
          </cell>
          <cell r="J30" t="str">
            <v>---</v>
          </cell>
          <cell r="K30">
            <v>12</v>
          </cell>
        </row>
        <row r="31">
          <cell r="B31">
            <v>1</v>
          </cell>
          <cell r="C31">
            <v>0.01</v>
          </cell>
          <cell r="D31">
            <v>0.03</v>
          </cell>
          <cell r="E31">
            <v>0.1</v>
          </cell>
          <cell r="F31">
            <v>0.3</v>
          </cell>
          <cell r="G31">
            <v>1</v>
          </cell>
          <cell r="H31" t="str">
            <v>---</v>
          </cell>
          <cell r="I31">
            <v>3</v>
          </cell>
          <cell r="J31" t="str">
            <v>---</v>
          </cell>
          <cell r="K31">
            <v>10</v>
          </cell>
        </row>
        <row r="32">
          <cell r="B32">
            <v>0.5</v>
          </cell>
          <cell r="C32">
            <v>8.0000000000000002E-3</v>
          </cell>
          <cell r="D32">
            <v>2.5000000000000001E-2</v>
          </cell>
          <cell r="E32">
            <v>0.08</v>
          </cell>
          <cell r="F32">
            <v>0.25</v>
          </cell>
          <cell r="G32">
            <v>0.8</v>
          </cell>
          <cell r="H32" t="str">
            <v>---</v>
          </cell>
          <cell r="I32">
            <v>3</v>
          </cell>
          <cell r="J32" t="str">
            <v>---</v>
          </cell>
          <cell r="K32" t="str">
            <v>---</v>
          </cell>
        </row>
        <row r="33">
          <cell r="B33">
            <v>0.3</v>
          </cell>
          <cell r="C33">
            <v>7.0000000000000001E-3</v>
          </cell>
          <cell r="D33">
            <v>2.1999999999999999E-2</v>
          </cell>
          <cell r="E33">
            <v>7.0000000000000007E-2</v>
          </cell>
          <cell r="F33">
            <v>0.217</v>
          </cell>
          <cell r="G33">
            <v>0.7</v>
          </cell>
          <cell r="H33" t="str">
            <v>---</v>
          </cell>
          <cell r="I33">
            <v>2</v>
          </cell>
          <cell r="J33" t="str">
            <v>---</v>
          </cell>
          <cell r="K33" t="str">
            <v>---</v>
          </cell>
        </row>
        <row r="34">
          <cell r="B34">
            <v>0.2</v>
          </cell>
          <cell r="C34">
            <v>6.0000000000000001E-3</v>
          </cell>
          <cell r="D34">
            <v>0.02</v>
          </cell>
          <cell r="E34">
            <v>0.06</v>
          </cell>
          <cell r="F34">
            <v>0.2</v>
          </cell>
          <cell r="G34">
            <v>0.6</v>
          </cell>
          <cell r="H34" t="str">
            <v>---</v>
          </cell>
          <cell r="I34">
            <v>2</v>
          </cell>
          <cell r="J34" t="str">
            <v>---</v>
          </cell>
          <cell r="K34" t="str">
            <v>---</v>
          </cell>
        </row>
        <row r="35">
          <cell r="B35">
            <v>0.1</v>
          </cell>
          <cell r="C35">
            <v>5.0000000000000001E-3</v>
          </cell>
          <cell r="D35">
            <v>1.6E-2</v>
          </cell>
          <cell r="E35">
            <v>0.05</v>
          </cell>
          <cell r="F35">
            <v>0.16</v>
          </cell>
          <cell r="G35">
            <v>0.5</v>
          </cell>
          <cell r="H35" t="str">
            <v>---</v>
          </cell>
          <cell r="I35">
            <v>1.6</v>
          </cell>
          <cell r="J35" t="str">
            <v>---</v>
          </cell>
          <cell r="K35" t="str">
            <v>---</v>
          </cell>
        </row>
        <row r="36">
          <cell r="B36">
            <v>0.05</v>
          </cell>
          <cell r="C36">
            <v>4.0000000000000001E-3</v>
          </cell>
          <cell r="D36">
            <v>1.2E-2</v>
          </cell>
          <cell r="E36">
            <v>0.04</v>
          </cell>
          <cell r="F36">
            <v>0.12</v>
          </cell>
          <cell r="G36">
            <v>0.4</v>
          </cell>
          <cell r="H36" t="str">
            <v>---</v>
          </cell>
          <cell r="I36" t="str">
            <v>---</v>
          </cell>
          <cell r="J36" t="str">
            <v>---</v>
          </cell>
          <cell r="K36" t="str">
            <v>---</v>
          </cell>
        </row>
        <row r="37">
          <cell r="B37">
            <v>0.03</v>
          </cell>
          <cell r="C37">
            <v>3.0000000000000001E-3</v>
          </cell>
          <cell r="D37">
            <v>1.0999999999999999E-2</v>
          </cell>
          <cell r="E37">
            <v>0.03</v>
          </cell>
          <cell r="F37">
            <v>0.11</v>
          </cell>
          <cell r="G37">
            <v>0.3</v>
          </cell>
          <cell r="H37" t="str">
            <v>---</v>
          </cell>
          <cell r="I37" t="str">
            <v>---</v>
          </cell>
          <cell r="J37" t="str">
            <v>---</v>
          </cell>
          <cell r="K37" t="str">
            <v>---</v>
          </cell>
        </row>
        <row r="38">
          <cell r="B38">
            <v>0.02</v>
          </cell>
          <cell r="C38">
            <v>3.0000000000000001E-3</v>
          </cell>
          <cell r="D38">
            <v>0.01</v>
          </cell>
          <cell r="E38">
            <v>0.03</v>
          </cell>
          <cell r="F38">
            <v>0.1</v>
          </cell>
          <cell r="G38">
            <v>0.3</v>
          </cell>
          <cell r="H38" t="str">
            <v>---</v>
          </cell>
          <cell r="I38" t="str">
            <v>---</v>
          </cell>
          <cell r="J38" t="str">
            <v>---</v>
          </cell>
          <cell r="K38" t="str">
            <v>---</v>
          </cell>
        </row>
        <row r="39">
          <cell r="B39">
            <v>0.01</v>
          </cell>
          <cell r="C39">
            <v>3.0000000000000001E-3</v>
          </cell>
          <cell r="D39">
            <v>8.0000000000000002E-3</v>
          </cell>
          <cell r="E39">
            <v>2.5000000000000001E-2</v>
          </cell>
          <cell r="F39">
            <v>0.08</v>
          </cell>
          <cell r="G39">
            <v>0.3</v>
          </cell>
          <cell r="H39" t="str">
            <v>---</v>
          </cell>
          <cell r="I39" t="str">
            <v>---</v>
          </cell>
          <cell r="J39" t="str">
            <v>---</v>
          </cell>
          <cell r="K39" t="str">
            <v>---</v>
          </cell>
        </row>
        <row r="40">
          <cell r="B40">
            <v>5.0000000000000001E-3</v>
          </cell>
          <cell r="C40">
            <v>3.0000000000000001E-3</v>
          </cell>
          <cell r="D40">
            <v>6.0000000000000001E-3</v>
          </cell>
          <cell r="E40">
            <v>0.02</v>
          </cell>
          <cell r="F40">
            <v>0.06</v>
          </cell>
          <cell r="G40">
            <v>0.2</v>
          </cell>
          <cell r="H40" t="str">
            <v>---</v>
          </cell>
          <cell r="I40" t="str">
            <v>---</v>
          </cell>
          <cell r="J40" t="str">
            <v>---</v>
          </cell>
          <cell r="K40" t="str">
            <v>---</v>
          </cell>
        </row>
        <row r="41">
          <cell r="B41">
            <v>3.0000000000000001E-3</v>
          </cell>
          <cell r="C41">
            <v>3.0000000000000001E-3</v>
          </cell>
          <cell r="D41">
            <v>6.0000000000000001E-3</v>
          </cell>
          <cell r="E41">
            <v>0.02</v>
          </cell>
          <cell r="F41">
            <v>0.06</v>
          </cell>
          <cell r="G41">
            <v>0.2</v>
          </cell>
          <cell r="H41" t="str">
            <v>---</v>
          </cell>
          <cell r="I41" t="str">
            <v>---</v>
          </cell>
          <cell r="J41" t="str">
            <v>---</v>
          </cell>
          <cell r="K41" t="str">
            <v>---</v>
          </cell>
        </row>
        <row r="42">
          <cell r="B42">
            <v>2E-3</v>
          </cell>
          <cell r="C42">
            <v>3.0000000000000001E-3</v>
          </cell>
          <cell r="D42">
            <v>6.0000000000000001E-3</v>
          </cell>
          <cell r="E42">
            <v>0.02</v>
          </cell>
          <cell r="F42">
            <v>0.06</v>
          </cell>
          <cell r="G42">
            <v>0.2</v>
          </cell>
          <cell r="H42" t="str">
            <v>---</v>
          </cell>
          <cell r="I42" t="str">
            <v>---</v>
          </cell>
          <cell r="J42" t="str">
            <v>---</v>
          </cell>
          <cell r="K42" t="str">
            <v>---</v>
          </cell>
        </row>
        <row r="43">
          <cell r="B43">
            <v>1E-3</v>
          </cell>
          <cell r="C43">
            <v>3.0000000000000001E-3</v>
          </cell>
          <cell r="D43">
            <v>6.0000000000000001E-3</v>
          </cell>
          <cell r="E43">
            <v>0.02</v>
          </cell>
          <cell r="F43">
            <v>0.06</v>
          </cell>
          <cell r="G43">
            <v>0.2</v>
          </cell>
          <cell r="H43" t="str">
            <v>---</v>
          </cell>
          <cell r="I43" t="str">
            <v>---</v>
          </cell>
          <cell r="J43" t="str">
            <v>---</v>
          </cell>
          <cell r="K43" t="str">
            <v>---</v>
          </cell>
        </row>
      </sheetData>
      <sheetData sheetId="15">
        <row r="3">
          <cell r="B3">
            <v>4535923.7</v>
          </cell>
          <cell r="C3" t="str">
            <v>---</v>
          </cell>
          <cell r="D3" t="str">
            <v>---</v>
          </cell>
          <cell r="E3">
            <v>22680</v>
          </cell>
          <cell r="F3">
            <v>72265</v>
          </cell>
          <cell r="G3">
            <v>226796</v>
          </cell>
          <cell r="H3">
            <v>453592</v>
          </cell>
          <cell r="I3">
            <v>722654</v>
          </cell>
          <cell r="J3">
            <v>1445308</v>
          </cell>
          <cell r="K3">
            <v>2267962</v>
          </cell>
        </row>
        <row r="4">
          <cell r="B4">
            <v>2267961.85</v>
          </cell>
          <cell r="C4" t="str">
            <v>---</v>
          </cell>
          <cell r="D4" t="str">
            <v>---</v>
          </cell>
          <cell r="E4">
            <v>11340</v>
          </cell>
          <cell r="F4">
            <v>34466</v>
          </cell>
          <cell r="G4">
            <v>113398</v>
          </cell>
          <cell r="H4">
            <v>226796</v>
          </cell>
          <cell r="I4">
            <v>344660</v>
          </cell>
          <cell r="J4">
            <v>689320</v>
          </cell>
          <cell r="K4">
            <v>1133981</v>
          </cell>
        </row>
        <row r="5">
          <cell r="B5">
            <v>1360777.11</v>
          </cell>
          <cell r="C5" t="str">
            <v>---</v>
          </cell>
          <cell r="D5" t="str">
            <v>---</v>
          </cell>
          <cell r="E5">
            <v>6804</v>
          </cell>
          <cell r="F5">
            <v>21051</v>
          </cell>
          <cell r="G5">
            <v>68039</v>
          </cell>
          <cell r="H5">
            <v>136078</v>
          </cell>
          <cell r="I5">
            <v>210509</v>
          </cell>
          <cell r="J5">
            <v>421018</v>
          </cell>
          <cell r="K5">
            <v>680389</v>
          </cell>
        </row>
        <row r="6">
          <cell r="B6">
            <v>1133980.925</v>
          </cell>
          <cell r="C6" t="str">
            <v>---</v>
          </cell>
          <cell r="D6" t="str">
            <v>---</v>
          </cell>
          <cell r="E6">
            <v>5670</v>
          </cell>
          <cell r="F6">
            <v>17876</v>
          </cell>
          <cell r="G6">
            <v>56699</v>
          </cell>
          <cell r="H6">
            <v>113398</v>
          </cell>
          <cell r="I6">
            <v>178757</v>
          </cell>
          <cell r="J6">
            <v>357514</v>
          </cell>
          <cell r="K6">
            <v>566990</v>
          </cell>
        </row>
        <row r="7">
          <cell r="B7">
            <v>907184.74</v>
          </cell>
          <cell r="C7" t="str">
            <v>---</v>
          </cell>
          <cell r="D7">
            <v>1451</v>
          </cell>
          <cell r="E7">
            <v>4536</v>
          </cell>
          <cell r="F7">
            <v>14515</v>
          </cell>
          <cell r="G7">
            <v>45359</v>
          </cell>
          <cell r="H7">
            <v>90718</v>
          </cell>
          <cell r="I7">
            <v>145150</v>
          </cell>
          <cell r="J7">
            <v>290300</v>
          </cell>
          <cell r="K7">
            <v>453592</v>
          </cell>
        </row>
        <row r="8">
          <cell r="B8">
            <v>453592.37</v>
          </cell>
          <cell r="C8" t="str">
            <v>---</v>
          </cell>
          <cell r="D8">
            <v>723</v>
          </cell>
          <cell r="E8">
            <v>2268</v>
          </cell>
          <cell r="F8">
            <v>7227</v>
          </cell>
          <cell r="G8">
            <v>22680</v>
          </cell>
          <cell r="H8">
            <v>45360</v>
          </cell>
          <cell r="I8">
            <v>72265</v>
          </cell>
          <cell r="J8">
            <v>144530</v>
          </cell>
          <cell r="K8">
            <v>226796</v>
          </cell>
        </row>
        <row r="9">
          <cell r="B9">
            <v>226796.185</v>
          </cell>
          <cell r="C9" t="str">
            <v>---</v>
          </cell>
          <cell r="D9">
            <v>345</v>
          </cell>
          <cell r="E9">
            <v>1134</v>
          </cell>
          <cell r="F9">
            <v>3447</v>
          </cell>
          <cell r="G9">
            <v>11340</v>
          </cell>
          <cell r="H9">
            <v>22680</v>
          </cell>
          <cell r="I9">
            <v>34466</v>
          </cell>
          <cell r="J9">
            <v>68932</v>
          </cell>
          <cell r="K9">
            <v>113398</v>
          </cell>
        </row>
        <row r="10">
          <cell r="B10">
            <v>45359.237000000001</v>
          </cell>
          <cell r="C10">
            <v>23</v>
          </cell>
          <cell r="D10">
            <v>72</v>
          </cell>
          <cell r="E10">
            <v>227</v>
          </cell>
          <cell r="F10">
            <v>723</v>
          </cell>
          <cell r="G10">
            <v>2268</v>
          </cell>
          <cell r="H10">
            <v>4536</v>
          </cell>
          <cell r="I10">
            <v>7227</v>
          </cell>
          <cell r="J10">
            <v>14454</v>
          </cell>
          <cell r="K10">
            <v>22680</v>
          </cell>
        </row>
        <row r="11">
          <cell r="B11">
            <v>22679.6185</v>
          </cell>
          <cell r="C11">
            <v>11</v>
          </cell>
          <cell r="D11">
            <v>34</v>
          </cell>
          <cell r="E11">
            <v>113</v>
          </cell>
          <cell r="F11">
            <v>345</v>
          </cell>
          <cell r="G11">
            <v>1134</v>
          </cell>
          <cell r="H11">
            <v>2268</v>
          </cell>
          <cell r="I11">
            <v>3447</v>
          </cell>
          <cell r="J11">
            <v>6894</v>
          </cell>
          <cell r="K11">
            <v>11340</v>
          </cell>
        </row>
        <row r="12">
          <cell r="B12">
            <v>13607.7711</v>
          </cell>
          <cell r="C12">
            <v>6.8</v>
          </cell>
          <cell r="D12">
            <v>21</v>
          </cell>
          <cell r="E12">
            <v>68</v>
          </cell>
          <cell r="F12">
            <v>211</v>
          </cell>
          <cell r="G12">
            <v>680</v>
          </cell>
          <cell r="H12" t="str">
            <v>---</v>
          </cell>
          <cell r="I12">
            <v>2105</v>
          </cell>
          <cell r="J12" t="str">
            <v>---</v>
          </cell>
          <cell r="K12">
            <v>6804</v>
          </cell>
        </row>
        <row r="13">
          <cell r="B13">
            <v>11339.80925</v>
          </cell>
          <cell r="C13">
            <v>5.7</v>
          </cell>
          <cell r="D13">
            <v>18</v>
          </cell>
          <cell r="E13">
            <v>57</v>
          </cell>
          <cell r="F13">
            <v>179</v>
          </cell>
          <cell r="G13">
            <v>567</v>
          </cell>
          <cell r="H13" t="str">
            <v>---</v>
          </cell>
          <cell r="I13">
            <v>1788</v>
          </cell>
          <cell r="J13" t="str">
            <v>---</v>
          </cell>
          <cell r="K13">
            <v>5670</v>
          </cell>
        </row>
        <row r="14">
          <cell r="B14">
            <v>9071.8474000000006</v>
          </cell>
          <cell r="C14">
            <v>4.5</v>
          </cell>
          <cell r="D14">
            <v>15</v>
          </cell>
          <cell r="E14">
            <v>45</v>
          </cell>
          <cell r="F14">
            <v>145</v>
          </cell>
          <cell r="G14">
            <v>454</v>
          </cell>
          <cell r="H14" t="str">
            <v>---</v>
          </cell>
          <cell r="I14">
            <v>1451</v>
          </cell>
          <cell r="J14" t="str">
            <v>---</v>
          </cell>
          <cell r="K14">
            <v>4536</v>
          </cell>
        </row>
        <row r="15">
          <cell r="B15">
            <v>4535.9237000000003</v>
          </cell>
          <cell r="C15">
            <v>2.2999999999999998</v>
          </cell>
          <cell r="D15">
            <v>7.2</v>
          </cell>
          <cell r="E15">
            <v>23</v>
          </cell>
          <cell r="F15">
            <v>72</v>
          </cell>
          <cell r="G15">
            <v>227</v>
          </cell>
          <cell r="H15" t="str">
            <v>---</v>
          </cell>
          <cell r="I15">
            <v>723</v>
          </cell>
          <cell r="J15" t="str">
            <v>---</v>
          </cell>
          <cell r="K15">
            <v>2268</v>
          </cell>
        </row>
        <row r="16">
          <cell r="B16">
            <v>2267.9618500000001</v>
          </cell>
          <cell r="C16">
            <v>1.1000000000000001</v>
          </cell>
          <cell r="D16">
            <v>3.4</v>
          </cell>
          <cell r="E16">
            <v>11</v>
          </cell>
          <cell r="F16">
            <v>34</v>
          </cell>
          <cell r="G16">
            <v>113</v>
          </cell>
          <cell r="H16" t="str">
            <v>---</v>
          </cell>
          <cell r="I16">
            <v>345</v>
          </cell>
          <cell r="J16" t="str">
            <v>---</v>
          </cell>
          <cell r="K16">
            <v>1134</v>
          </cell>
        </row>
        <row r="17">
          <cell r="B17">
            <v>1360.77711</v>
          </cell>
          <cell r="C17">
            <v>0.68</v>
          </cell>
          <cell r="D17">
            <v>2.1</v>
          </cell>
          <cell r="E17">
            <v>6.8</v>
          </cell>
          <cell r="F17">
            <v>21</v>
          </cell>
          <cell r="G17">
            <v>68</v>
          </cell>
          <cell r="H17" t="str">
            <v>---</v>
          </cell>
          <cell r="I17">
            <v>211</v>
          </cell>
          <cell r="J17" t="str">
            <v>---</v>
          </cell>
          <cell r="K17">
            <v>680</v>
          </cell>
        </row>
        <row r="18">
          <cell r="B18">
            <v>907.18474000000003</v>
          </cell>
          <cell r="C18">
            <v>0.45</v>
          </cell>
          <cell r="D18">
            <v>1.5</v>
          </cell>
          <cell r="E18">
            <v>4.5</v>
          </cell>
          <cell r="F18">
            <v>15</v>
          </cell>
          <cell r="G18">
            <v>45</v>
          </cell>
          <cell r="H18" t="str">
            <v>---</v>
          </cell>
          <cell r="I18">
            <v>145</v>
          </cell>
          <cell r="J18" t="str">
            <v>---</v>
          </cell>
          <cell r="K18">
            <v>454</v>
          </cell>
        </row>
        <row r="19">
          <cell r="B19">
            <v>453.59237000000002</v>
          </cell>
          <cell r="C19">
            <v>0.23</v>
          </cell>
          <cell r="D19">
            <v>0.72</v>
          </cell>
          <cell r="E19">
            <v>2.2999999999999998</v>
          </cell>
          <cell r="F19">
            <v>7.2</v>
          </cell>
          <cell r="G19">
            <v>23</v>
          </cell>
          <cell r="H19" t="str">
            <v>---</v>
          </cell>
          <cell r="I19">
            <v>72</v>
          </cell>
          <cell r="J19" t="str">
            <v>---</v>
          </cell>
          <cell r="K19">
            <v>227</v>
          </cell>
        </row>
        <row r="20">
          <cell r="B20">
            <v>226.79618500000001</v>
          </cell>
          <cell r="C20">
            <v>0.11</v>
          </cell>
          <cell r="D20">
            <v>0.34</v>
          </cell>
          <cell r="E20">
            <v>1.1000000000000001</v>
          </cell>
          <cell r="F20">
            <v>3.4</v>
          </cell>
          <cell r="G20">
            <v>11</v>
          </cell>
          <cell r="H20" t="str">
            <v>---</v>
          </cell>
          <cell r="I20">
            <v>34</v>
          </cell>
          <cell r="J20" t="str">
            <v>---</v>
          </cell>
          <cell r="K20">
            <v>113</v>
          </cell>
        </row>
        <row r="21">
          <cell r="B21">
            <v>136.07771099999999</v>
          </cell>
          <cell r="C21">
            <v>6.0999999999999999E-2</v>
          </cell>
          <cell r="D21">
            <v>0.21</v>
          </cell>
          <cell r="E21">
            <v>0.68</v>
          </cell>
          <cell r="F21">
            <v>2.1</v>
          </cell>
          <cell r="G21">
            <v>6.8</v>
          </cell>
          <cell r="H21" t="str">
            <v>---</v>
          </cell>
          <cell r="I21">
            <v>21</v>
          </cell>
          <cell r="J21" t="str">
            <v>---</v>
          </cell>
          <cell r="K21">
            <v>68</v>
          </cell>
        </row>
        <row r="22">
          <cell r="B22">
            <v>90.718474000000015</v>
          </cell>
          <cell r="C22">
            <v>4.4999999999999998E-2</v>
          </cell>
          <cell r="D22">
            <v>0.15</v>
          </cell>
          <cell r="E22">
            <v>0.46</v>
          </cell>
          <cell r="F22">
            <v>1.5</v>
          </cell>
          <cell r="G22">
            <v>4.5999999999999996</v>
          </cell>
          <cell r="H22" t="str">
            <v>---</v>
          </cell>
          <cell r="I22">
            <v>15</v>
          </cell>
          <cell r="J22" t="str">
            <v>---</v>
          </cell>
          <cell r="K22">
            <v>46</v>
          </cell>
        </row>
        <row r="23">
          <cell r="B23">
            <v>45.359237000000007</v>
          </cell>
          <cell r="C23">
            <v>2.9000000000000001E-2</v>
          </cell>
          <cell r="D23">
            <v>9.7000000000000003E-2</v>
          </cell>
          <cell r="E23">
            <v>0.28999999999999998</v>
          </cell>
          <cell r="F23">
            <v>0.97</v>
          </cell>
          <cell r="G23">
            <v>2.9</v>
          </cell>
          <cell r="H23" t="str">
            <v>---</v>
          </cell>
          <cell r="I23">
            <v>9.6999999999999993</v>
          </cell>
          <cell r="J23" t="str">
            <v>---</v>
          </cell>
          <cell r="K23">
            <v>29</v>
          </cell>
        </row>
        <row r="24">
          <cell r="B24">
            <v>22.679618500000004</v>
          </cell>
          <cell r="C24">
            <v>2.5000000000000001E-2</v>
          </cell>
          <cell r="D24">
            <v>8.2000000000000003E-2</v>
          </cell>
          <cell r="E24">
            <v>0.25</v>
          </cell>
          <cell r="F24">
            <v>0.82</v>
          </cell>
          <cell r="G24">
            <v>2.5</v>
          </cell>
          <cell r="H24" t="str">
            <v>---</v>
          </cell>
          <cell r="I24">
            <v>8.1999999999999993</v>
          </cell>
          <cell r="J24" t="str">
            <v>---</v>
          </cell>
          <cell r="K24">
            <v>25</v>
          </cell>
        </row>
        <row r="25">
          <cell r="B25">
            <v>13.607771100000001</v>
          </cell>
          <cell r="C25">
            <v>2.1999999999999999E-2</v>
          </cell>
          <cell r="D25">
            <v>6.7000000000000004E-2</v>
          </cell>
          <cell r="E25">
            <v>0.22</v>
          </cell>
          <cell r="F25">
            <v>0.67</v>
          </cell>
          <cell r="G25">
            <v>2.2000000000000002</v>
          </cell>
          <cell r="H25" t="str">
            <v>---</v>
          </cell>
          <cell r="I25">
            <v>6.7</v>
          </cell>
          <cell r="J25" t="str">
            <v>---</v>
          </cell>
          <cell r="K25">
            <v>22</v>
          </cell>
        </row>
        <row r="26">
          <cell r="B26">
            <v>9.0718474000000011</v>
          </cell>
          <cell r="C26">
            <v>1.9E-2</v>
          </cell>
          <cell r="D26">
            <v>5.8000000000000003E-2</v>
          </cell>
          <cell r="E26">
            <v>0.19</v>
          </cell>
          <cell r="F26">
            <v>0.57999999999999996</v>
          </cell>
          <cell r="G26">
            <v>1.9</v>
          </cell>
          <cell r="H26" t="str">
            <v>---</v>
          </cell>
          <cell r="I26">
            <v>5.8</v>
          </cell>
          <cell r="J26" t="str">
            <v>---</v>
          </cell>
          <cell r="K26">
            <v>19</v>
          </cell>
        </row>
        <row r="27">
          <cell r="B27">
            <v>4.5359237000000006</v>
          </cell>
          <cell r="C27">
            <v>1.4999999999999999E-2</v>
          </cell>
          <cell r="D27">
            <v>4.8000000000000001E-2</v>
          </cell>
          <cell r="E27">
            <v>0.15</v>
          </cell>
          <cell r="F27">
            <v>0.48</v>
          </cell>
          <cell r="G27">
            <v>1.5</v>
          </cell>
          <cell r="H27" t="str">
            <v>---</v>
          </cell>
          <cell r="I27">
            <v>4.8</v>
          </cell>
          <cell r="J27" t="str">
            <v>---</v>
          </cell>
          <cell r="K27">
            <v>15</v>
          </cell>
        </row>
        <row r="28">
          <cell r="B28">
            <v>2.2679618500000003</v>
          </cell>
          <cell r="C28">
            <v>1.2E-2</v>
          </cell>
          <cell r="D28">
            <v>4.1000000000000002E-2</v>
          </cell>
          <cell r="E28">
            <v>0.12</v>
          </cell>
          <cell r="F28">
            <v>0.41</v>
          </cell>
          <cell r="G28">
            <v>1.2</v>
          </cell>
          <cell r="H28" t="str">
            <v>---</v>
          </cell>
          <cell r="I28">
            <v>4.0999999999999996</v>
          </cell>
          <cell r="J28" t="str">
            <v>---</v>
          </cell>
          <cell r="K28">
            <v>12</v>
          </cell>
        </row>
        <row r="29">
          <cell r="B29">
            <v>1.3607771100000001</v>
          </cell>
          <cell r="C29">
            <v>1.0999999999999999E-2</v>
          </cell>
          <cell r="D29">
            <v>3.4000000000000002E-2</v>
          </cell>
          <cell r="E29">
            <v>0.11</v>
          </cell>
          <cell r="F29">
            <v>0.34</v>
          </cell>
          <cell r="G29">
            <v>1.1000000000000001</v>
          </cell>
          <cell r="H29" t="str">
            <v>---</v>
          </cell>
          <cell r="I29">
            <v>3.4</v>
          </cell>
          <cell r="J29" t="str">
            <v>---</v>
          </cell>
          <cell r="K29">
            <v>11</v>
          </cell>
        </row>
        <row r="30">
          <cell r="B30">
            <v>0.90718474000000004</v>
          </cell>
          <cell r="C30">
            <v>0.01</v>
          </cell>
          <cell r="D30">
            <v>2.9000000000000001E-2</v>
          </cell>
          <cell r="E30">
            <v>9.6000000000000002E-2</v>
          </cell>
          <cell r="F30">
            <v>0.28999999999999998</v>
          </cell>
          <cell r="G30">
            <v>0.96</v>
          </cell>
          <cell r="H30" t="str">
            <v>---</v>
          </cell>
          <cell r="I30">
            <v>2.9</v>
          </cell>
          <cell r="J30" t="str">
            <v>---</v>
          </cell>
        </row>
        <row r="31">
          <cell r="B31">
            <v>0.45359237000000002</v>
          </cell>
          <cell r="C31">
            <v>7.7000000000000002E-3</v>
          </cell>
          <cell r="D31">
            <v>2.4E-2</v>
          </cell>
          <cell r="E31">
            <v>7.6999999999999999E-2</v>
          </cell>
          <cell r="F31">
            <v>0.24</v>
          </cell>
          <cell r="G31">
            <v>0.77</v>
          </cell>
          <cell r="H31" t="str">
            <v>---</v>
          </cell>
          <cell r="I31">
            <v>2.4</v>
          </cell>
          <cell r="J31" t="str">
            <v>---</v>
          </cell>
        </row>
      </sheetData>
      <sheetData sheetId="16">
        <row r="3">
          <cell r="B3">
            <v>283.49523125000002</v>
          </cell>
          <cell r="C3">
            <v>0.14000000000000001</v>
          </cell>
          <cell r="D3">
            <v>0.44</v>
          </cell>
          <cell r="E3">
            <v>1.4</v>
          </cell>
          <cell r="F3">
            <v>4.4000000000000004</v>
          </cell>
          <cell r="G3">
            <v>14</v>
          </cell>
          <cell r="H3">
            <v>44</v>
          </cell>
          <cell r="I3">
            <v>142</v>
          </cell>
        </row>
        <row r="4">
          <cell r="B4">
            <v>226.79618500000001</v>
          </cell>
          <cell r="C4">
            <v>0.11</v>
          </cell>
          <cell r="D4">
            <v>0.34</v>
          </cell>
          <cell r="E4">
            <v>1.1000000000000001</v>
          </cell>
          <cell r="F4">
            <v>3.4</v>
          </cell>
          <cell r="G4">
            <v>11</v>
          </cell>
          <cell r="H4">
            <v>34</v>
          </cell>
          <cell r="I4">
            <v>113</v>
          </cell>
        </row>
        <row r="5">
          <cell r="B5">
            <v>141.74761562500001</v>
          </cell>
          <cell r="C5">
            <v>6.4000000000000001E-2</v>
          </cell>
          <cell r="D5">
            <v>0.22</v>
          </cell>
          <cell r="E5">
            <v>0.71</v>
          </cell>
          <cell r="F5">
            <v>2.2000000000000002</v>
          </cell>
          <cell r="G5">
            <v>7.1</v>
          </cell>
          <cell r="H5">
            <v>22</v>
          </cell>
          <cell r="I5">
            <v>71</v>
          </cell>
        </row>
        <row r="6">
          <cell r="B6">
            <v>113.3980925</v>
          </cell>
          <cell r="C6">
            <v>5.3999999999999999E-2</v>
          </cell>
          <cell r="D6">
            <v>0.18</v>
          </cell>
          <cell r="E6">
            <v>0.56999999999999995</v>
          </cell>
          <cell r="F6">
            <v>1.8</v>
          </cell>
          <cell r="G6">
            <v>5.7</v>
          </cell>
          <cell r="H6">
            <v>18</v>
          </cell>
          <cell r="I6">
            <v>57</v>
          </cell>
        </row>
        <row r="7">
          <cell r="B7">
            <v>85.048569375</v>
          </cell>
          <cell r="C7">
            <v>4.2000000000000003E-2</v>
          </cell>
          <cell r="D7">
            <v>0.14000000000000001</v>
          </cell>
          <cell r="E7">
            <v>0.44</v>
          </cell>
          <cell r="F7">
            <v>1.4</v>
          </cell>
          <cell r="G7">
            <v>4.4000000000000004</v>
          </cell>
          <cell r="H7">
            <v>14</v>
          </cell>
          <cell r="I7">
            <v>44</v>
          </cell>
        </row>
        <row r="8">
          <cell r="B8">
            <v>56.699046250000002</v>
          </cell>
          <cell r="C8">
            <v>3.1E-2</v>
          </cell>
          <cell r="D8">
            <v>0.11</v>
          </cell>
          <cell r="E8">
            <v>0.33</v>
          </cell>
          <cell r="F8">
            <v>1.1000000000000001</v>
          </cell>
          <cell r="G8">
            <v>3.3</v>
          </cell>
          <cell r="H8">
            <v>11</v>
          </cell>
          <cell r="I8">
            <v>33</v>
          </cell>
        </row>
        <row r="9">
          <cell r="B9">
            <v>28.349523125000001</v>
          </cell>
          <cell r="C9">
            <v>2.5999999999999999E-2</v>
          </cell>
          <cell r="D9">
            <v>8.5999999999999993E-2</v>
          </cell>
          <cell r="E9">
            <v>0.26</v>
          </cell>
          <cell r="F9">
            <v>0.86</v>
          </cell>
          <cell r="G9">
            <v>2.6</v>
          </cell>
          <cell r="H9">
            <v>8.6</v>
          </cell>
          <cell r="I9">
            <v>26</v>
          </cell>
        </row>
        <row r="10">
          <cell r="B10">
            <v>14.174761562500001</v>
          </cell>
          <cell r="C10">
            <v>2.1999999999999999E-2</v>
          </cell>
          <cell r="D10">
            <v>6.8000000000000005E-2</v>
          </cell>
          <cell r="E10">
            <v>0.22</v>
          </cell>
          <cell r="F10">
            <v>0.68</v>
          </cell>
          <cell r="G10">
            <v>2.2000000000000002</v>
          </cell>
          <cell r="H10">
            <v>6.8</v>
          </cell>
          <cell r="I10">
            <v>22</v>
          </cell>
        </row>
        <row r="11">
          <cell r="B11">
            <v>14.174761562500001</v>
          </cell>
          <cell r="C11">
            <v>2.1999999999999999E-2</v>
          </cell>
          <cell r="D11">
            <v>6.8000000000000005E-2</v>
          </cell>
          <cell r="E11">
            <v>0.22</v>
          </cell>
          <cell r="F11">
            <v>0.68</v>
          </cell>
          <cell r="G11">
            <v>2.2000000000000002</v>
          </cell>
          <cell r="H11">
            <v>6.8</v>
          </cell>
          <cell r="I11">
            <v>22</v>
          </cell>
        </row>
        <row r="12">
          <cell r="B12">
            <v>8.5048569374999996</v>
          </cell>
          <cell r="C12">
            <v>1.9E-2</v>
          </cell>
          <cell r="D12">
            <v>5.7000000000000002E-2</v>
          </cell>
          <cell r="E12">
            <v>0.19</v>
          </cell>
          <cell r="F12">
            <v>0.56999999999999995</v>
          </cell>
          <cell r="G12">
            <v>1.9</v>
          </cell>
          <cell r="H12">
            <v>5.7</v>
          </cell>
          <cell r="I12">
            <v>19</v>
          </cell>
        </row>
        <row r="13">
          <cell r="B13">
            <v>7.0873807812500003</v>
          </cell>
          <cell r="C13">
            <v>1.7999999999999999E-2</v>
          </cell>
          <cell r="D13">
            <v>5.3999999999999999E-2</v>
          </cell>
          <cell r="E13">
            <v>0.18</v>
          </cell>
          <cell r="F13">
            <v>0.54</v>
          </cell>
          <cell r="G13">
            <v>1.8</v>
          </cell>
          <cell r="H13">
            <v>5.4</v>
          </cell>
          <cell r="I13">
            <v>18</v>
          </cell>
        </row>
        <row r="14">
          <cell r="B14">
            <v>5.6699046250000009</v>
          </cell>
          <cell r="C14">
            <v>1.7000000000000001E-2</v>
          </cell>
          <cell r="D14">
            <v>5.0999999999999997E-2</v>
          </cell>
          <cell r="E14">
            <v>0.17</v>
          </cell>
          <cell r="F14">
            <v>0.51</v>
          </cell>
          <cell r="G14">
            <v>1.7</v>
          </cell>
          <cell r="H14">
            <v>5.0999999999999996</v>
          </cell>
          <cell r="I14">
            <v>17</v>
          </cell>
        </row>
        <row r="15">
          <cell r="B15">
            <v>3.5436903906250001</v>
          </cell>
          <cell r="C15">
            <v>1.4E-2</v>
          </cell>
          <cell r="D15">
            <v>4.4999999999999998E-2</v>
          </cell>
          <cell r="E15">
            <v>0.14000000000000001</v>
          </cell>
          <cell r="F15">
            <v>0.45</v>
          </cell>
          <cell r="G15">
            <v>1.4</v>
          </cell>
          <cell r="H15">
            <v>4.5</v>
          </cell>
          <cell r="I15">
            <v>14</v>
          </cell>
        </row>
        <row r="16">
          <cell r="B16">
            <v>2.8349523125000005</v>
          </cell>
          <cell r="C16">
            <v>1.2999999999999999E-2</v>
          </cell>
          <cell r="D16">
            <v>4.2999999999999997E-2</v>
          </cell>
          <cell r="E16">
            <v>0.13</v>
          </cell>
          <cell r="F16">
            <v>0.43</v>
          </cell>
          <cell r="G16">
            <v>1.3</v>
          </cell>
          <cell r="H16">
            <v>4.3</v>
          </cell>
          <cell r="I16">
            <v>13</v>
          </cell>
        </row>
        <row r="17">
          <cell r="B17">
            <v>1.7718451953125001</v>
          </cell>
          <cell r="C17">
            <v>1.2E-2</v>
          </cell>
          <cell r="D17">
            <v>3.7999999999999999E-2</v>
          </cell>
          <cell r="E17">
            <v>0.12</v>
          </cell>
          <cell r="F17">
            <v>0.38</v>
          </cell>
          <cell r="G17">
            <v>1.2</v>
          </cell>
          <cell r="H17">
            <v>3.8</v>
          </cell>
          <cell r="I17">
            <v>12</v>
          </cell>
        </row>
        <row r="18">
          <cell r="B18">
            <v>1.4174761562500002</v>
          </cell>
          <cell r="C18">
            <v>1.0999999999999999E-2</v>
          </cell>
          <cell r="D18">
            <v>3.4000000000000002E-2</v>
          </cell>
          <cell r="E18">
            <v>0.11</v>
          </cell>
          <cell r="F18">
            <v>0.34</v>
          </cell>
          <cell r="G18">
            <v>1.1000000000000001</v>
          </cell>
          <cell r="H18">
            <v>3.4</v>
          </cell>
          <cell r="I18">
            <v>11</v>
          </cell>
        </row>
        <row r="19">
          <cell r="B19">
            <v>0.88592259765625003</v>
          </cell>
          <cell r="C19">
            <v>9.4999999999999998E-3</v>
          </cell>
          <cell r="D19">
            <v>2.9000000000000001E-2</v>
          </cell>
          <cell r="E19">
            <v>9.5000000000000001E-2</v>
          </cell>
          <cell r="F19">
            <v>0.28999999999999998</v>
          </cell>
          <cell r="G19">
            <v>0.95399999999999996</v>
          </cell>
          <cell r="H19">
            <v>2.9</v>
          </cell>
          <cell r="I19" t="str">
            <v>---</v>
          </cell>
        </row>
        <row r="20">
          <cell r="B20">
            <v>0.85048569375000005</v>
          </cell>
          <cell r="C20">
            <v>9.4000000000000004E-3</v>
          </cell>
          <cell r="D20">
            <v>2.9000000000000001E-2</v>
          </cell>
          <cell r="E20">
            <v>9.4E-2</v>
          </cell>
          <cell r="F20">
            <v>0.28999999999999998</v>
          </cell>
          <cell r="G20">
            <v>0.94</v>
          </cell>
          <cell r="H20">
            <v>2.9</v>
          </cell>
          <cell r="I20" t="str">
            <v>---</v>
          </cell>
        </row>
        <row r="21">
          <cell r="B21">
            <v>0.56699046250000007</v>
          </cell>
          <cell r="C21">
            <v>8.3000000000000001E-3</v>
          </cell>
          <cell r="D21">
            <v>2.5999999999999999E-2</v>
          </cell>
          <cell r="E21">
            <v>8.3000000000000004E-2</v>
          </cell>
          <cell r="F21">
            <v>0.26</v>
          </cell>
          <cell r="G21">
            <v>0.82699999999999996</v>
          </cell>
          <cell r="H21">
            <v>2.6</v>
          </cell>
          <cell r="I21" t="str">
            <v>---</v>
          </cell>
        </row>
        <row r="22">
          <cell r="B22">
            <v>0.44296129882812502</v>
          </cell>
          <cell r="C22">
            <v>7.6E-3</v>
          </cell>
          <cell r="D22">
            <v>2.4E-2</v>
          </cell>
          <cell r="E22">
            <v>7.5999999999999998E-2</v>
          </cell>
          <cell r="F22">
            <v>0.24</v>
          </cell>
          <cell r="G22">
            <v>0.76200000000000001</v>
          </cell>
          <cell r="H22">
            <v>2.4</v>
          </cell>
          <cell r="I22" t="str">
            <v>---</v>
          </cell>
        </row>
        <row r="23">
          <cell r="B23">
            <v>0.28349523125000003</v>
          </cell>
          <cell r="C23">
            <v>6.6E-3</v>
          </cell>
          <cell r="D23">
            <v>2.1000000000000001E-2</v>
          </cell>
          <cell r="E23">
            <v>6.6000000000000003E-2</v>
          </cell>
          <cell r="F23">
            <v>0.21</v>
          </cell>
          <cell r="G23">
            <v>0.65600000000000003</v>
          </cell>
          <cell r="H23">
            <v>2.1</v>
          </cell>
          <cell r="I23" t="str">
            <v>---</v>
          </cell>
        </row>
        <row r="24">
          <cell r="B24">
            <v>0.14174761562500002</v>
          </cell>
          <cell r="C24">
            <v>5.4000000000000003E-3</v>
          </cell>
          <cell r="D24">
            <v>1.7999999999999999E-2</v>
          </cell>
          <cell r="E24">
            <v>5.3999999999999999E-2</v>
          </cell>
          <cell r="F24">
            <v>0.18</v>
          </cell>
          <cell r="G24">
            <v>0.54200000000000004</v>
          </cell>
          <cell r="H24">
            <v>1.8</v>
          </cell>
          <cell r="I24" t="str">
            <v>---</v>
          </cell>
        </row>
        <row r="25">
          <cell r="B25">
            <v>8.5048569375000008E-2</v>
          </cell>
          <cell r="C25">
            <v>4.7000000000000002E-3</v>
          </cell>
          <cell r="D25">
            <v>1.4999999999999999E-2</v>
          </cell>
          <cell r="E25">
            <v>4.7E-2</v>
          </cell>
          <cell r="F25">
            <v>0.15</v>
          </cell>
          <cell r="G25">
            <v>0.47</v>
          </cell>
          <cell r="H25" t="str">
            <v>---</v>
          </cell>
          <cell r="I25" t="str">
            <v>---</v>
          </cell>
        </row>
        <row r="26">
          <cell r="B26">
            <v>5.6699046250000003E-2</v>
          </cell>
          <cell r="C26">
            <v>4.1000000000000003E-3</v>
          </cell>
          <cell r="D26">
            <v>1.2999999999999999E-2</v>
          </cell>
          <cell r="E26">
            <v>4.1000000000000002E-2</v>
          </cell>
          <cell r="F26">
            <v>0.13</v>
          </cell>
          <cell r="G26">
            <v>0.41299999999999998</v>
          </cell>
          <cell r="H26" t="str">
            <v>---</v>
          </cell>
          <cell r="I26" t="str">
            <v>---</v>
          </cell>
        </row>
        <row r="27">
          <cell r="B27">
            <v>2.8349523125000001E-2</v>
          </cell>
          <cell r="C27">
            <v>3.3E-3</v>
          </cell>
          <cell r="D27">
            <v>1.0999999999999999E-2</v>
          </cell>
          <cell r="E27">
            <v>3.3000000000000002E-2</v>
          </cell>
          <cell r="F27">
            <v>0.11</v>
          </cell>
          <cell r="G27">
            <v>0.32800000000000001</v>
          </cell>
          <cell r="H27" t="str">
            <v>---</v>
          </cell>
          <cell r="I27" t="str">
            <v>---</v>
          </cell>
        </row>
        <row r="28">
          <cell r="B28">
            <v>1.4174761562500001E-2</v>
          </cell>
          <cell r="C28">
            <v>3.0000000000000001E-3</v>
          </cell>
          <cell r="D28">
            <v>8.8000000000000005E-3</v>
          </cell>
          <cell r="E28">
            <v>2.7E-2</v>
          </cell>
          <cell r="F28">
            <v>8.7999999999999995E-2</v>
          </cell>
          <cell r="G28">
            <v>0.27100000000000002</v>
          </cell>
          <cell r="H28" t="str">
            <v>---</v>
          </cell>
          <cell r="I28" t="str">
            <v>---</v>
          </cell>
        </row>
        <row r="29">
          <cell r="B29">
            <v>8.5048569374999994E-3</v>
          </cell>
          <cell r="C29">
            <v>3.0000000000000001E-3</v>
          </cell>
          <cell r="D29">
            <v>7.4000000000000003E-3</v>
          </cell>
          <cell r="E29">
            <v>2.4E-2</v>
          </cell>
          <cell r="F29">
            <v>7.3999999999999996E-2</v>
          </cell>
          <cell r="G29">
            <v>0.23499999999999999</v>
          </cell>
          <cell r="H29" t="str">
            <v>---</v>
          </cell>
          <cell r="I29" t="str">
            <v>---</v>
          </cell>
        </row>
        <row r="30">
          <cell r="B30">
            <v>5.6699046250000005E-3</v>
          </cell>
          <cell r="C30">
            <v>3.0000000000000001E-3</v>
          </cell>
          <cell r="D30">
            <v>6.3E-3</v>
          </cell>
          <cell r="E30">
            <v>2.1000000000000001E-2</v>
          </cell>
          <cell r="F30">
            <v>6.3E-2</v>
          </cell>
          <cell r="G30">
            <v>0.20699999999999999</v>
          </cell>
          <cell r="H30" t="str">
            <v>---</v>
          </cell>
          <cell r="I30" t="str">
            <v>---</v>
          </cell>
        </row>
        <row r="31">
          <cell r="B31">
            <v>2.8349523125000002E-3</v>
          </cell>
          <cell r="C31">
            <v>3.0000000000000001E-3</v>
          </cell>
          <cell r="D31">
            <v>6.0000000000000001E-3</v>
          </cell>
          <cell r="E31">
            <v>0.02</v>
          </cell>
          <cell r="F31">
            <v>0.06</v>
          </cell>
          <cell r="G31">
            <v>0.2</v>
          </cell>
          <cell r="H31" t="str">
            <v>---</v>
          </cell>
          <cell r="I31" t="str">
            <v>---</v>
          </cell>
        </row>
      </sheetData>
      <sheetData sheetId="17">
        <row r="3">
          <cell r="B3">
            <v>373.24172160000001</v>
          </cell>
          <cell r="C3">
            <v>0.19</v>
          </cell>
          <cell r="D3">
            <v>0.59</v>
          </cell>
          <cell r="E3">
            <v>1.9</v>
          </cell>
          <cell r="F3">
            <v>5.9</v>
          </cell>
          <cell r="G3">
            <v>19</v>
          </cell>
          <cell r="H3">
            <v>59</v>
          </cell>
          <cell r="I3">
            <v>187</v>
          </cell>
        </row>
        <row r="4">
          <cell r="B4">
            <v>311.03476799999999</v>
          </cell>
          <cell r="C4">
            <v>0.16</v>
          </cell>
          <cell r="D4">
            <v>0.49</v>
          </cell>
          <cell r="E4">
            <v>1.6</v>
          </cell>
          <cell r="F4">
            <v>4.9000000000000004</v>
          </cell>
          <cell r="G4">
            <v>16</v>
          </cell>
          <cell r="H4">
            <v>49</v>
          </cell>
          <cell r="I4">
            <v>156</v>
          </cell>
        </row>
        <row r="5">
          <cell r="B5">
            <v>186.6208608</v>
          </cell>
          <cell r="C5">
            <v>9.2999999999999999E-2</v>
          </cell>
          <cell r="D5">
            <v>0.28000000000000003</v>
          </cell>
          <cell r="E5">
            <v>0.93</v>
          </cell>
          <cell r="F5">
            <v>2.8</v>
          </cell>
          <cell r="G5">
            <v>9.3000000000000007</v>
          </cell>
          <cell r="H5">
            <v>28</v>
          </cell>
          <cell r="I5">
            <v>93</v>
          </cell>
        </row>
        <row r="6">
          <cell r="B6">
            <v>155.51738399999999</v>
          </cell>
          <cell r="C6">
            <v>7.8E-2</v>
          </cell>
          <cell r="D6">
            <v>0.24</v>
          </cell>
          <cell r="E6">
            <v>0.78</v>
          </cell>
          <cell r="F6">
            <v>2.4</v>
          </cell>
          <cell r="G6">
            <v>7.8</v>
          </cell>
          <cell r="H6">
            <v>24</v>
          </cell>
          <cell r="I6">
            <v>78</v>
          </cell>
        </row>
        <row r="7">
          <cell r="B7">
            <v>124.4139072</v>
          </cell>
          <cell r="C7">
            <v>6.2E-2</v>
          </cell>
          <cell r="D7">
            <v>0.19</v>
          </cell>
          <cell r="E7">
            <v>0.62</v>
          </cell>
          <cell r="F7">
            <v>1.9</v>
          </cell>
          <cell r="G7">
            <v>6.2</v>
          </cell>
          <cell r="H7">
            <v>19</v>
          </cell>
          <cell r="I7">
            <v>62</v>
          </cell>
        </row>
        <row r="8">
          <cell r="B8">
            <v>93.310430400000001</v>
          </cell>
          <cell r="C8">
            <v>4.7E-2</v>
          </cell>
          <cell r="D8">
            <v>0.15</v>
          </cell>
          <cell r="E8">
            <v>0.47</v>
          </cell>
          <cell r="F8">
            <v>1.5</v>
          </cell>
          <cell r="G8">
            <v>4.7</v>
          </cell>
          <cell r="H8">
            <v>15</v>
          </cell>
          <cell r="I8">
            <v>47</v>
          </cell>
        </row>
        <row r="9">
          <cell r="B9">
            <v>62.206953599999999</v>
          </cell>
          <cell r="C9">
            <v>3.5000000000000003E-2</v>
          </cell>
          <cell r="D9">
            <v>0.11</v>
          </cell>
          <cell r="E9">
            <v>0.35</v>
          </cell>
          <cell r="F9">
            <v>1.1000000000000001</v>
          </cell>
          <cell r="G9">
            <v>3.5</v>
          </cell>
          <cell r="H9">
            <v>11</v>
          </cell>
          <cell r="I9">
            <v>35</v>
          </cell>
        </row>
        <row r="10">
          <cell r="B10">
            <v>31.103476799999999</v>
          </cell>
          <cell r="C10">
            <v>2.7E-2</v>
          </cell>
          <cell r="D10">
            <v>8.6999999999999994E-2</v>
          </cell>
          <cell r="E10">
            <v>0.27</v>
          </cell>
          <cell r="F10">
            <v>0.87</v>
          </cell>
          <cell r="G10">
            <v>2.7</v>
          </cell>
          <cell r="H10">
            <v>8.6999999999999993</v>
          </cell>
          <cell r="I10">
            <v>27</v>
          </cell>
        </row>
        <row r="11">
          <cell r="B11">
            <v>15.5517384</v>
          </cell>
          <cell r="C11">
            <v>2.3E-2</v>
          </cell>
          <cell r="D11">
            <v>7.0999999999999994E-2</v>
          </cell>
          <cell r="E11">
            <v>0.23</v>
          </cell>
          <cell r="F11">
            <v>0.71</v>
          </cell>
          <cell r="G11">
            <v>2.2999999999999998</v>
          </cell>
          <cell r="H11">
            <v>7.1</v>
          </cell>
          <cell r="I11">
            <v>23</v>
          </cell>
        </row>
        <row r="12">
          <cell r="B12">
            <v>23.3276076</v>
          </cell>
          <cell r="C12">
            <v>2.5999999999999999E-2</v>
          </cell>
          <cell r="D12">
            <v>8.2000000000000003E-2</v>
          </cell>
          <cell r="E12">
            <v>2.5999999999999999E-2</v>
          </cell>
          <cell r="F12">
            <v>0.82</v>
          </cell>
          <cell r="G12">
            <v>2.6</v>
          </cell>
          <cell r="H12">
            <v>8.1999999999999993</v>
          </cell>
          <cell r="I12">
            <v>26</v>
          </cell>
        </row>
        <row r="13">
          <cell r="B13">
            <v>19.439672999999999</v>
          </cell>
          <cell r="C13">
            <v>2.5000000000000001E-2</v>
          </cell>
          <cell r="D13">
            <v>7.9000000000000001E-2</v>
          </cell>
          <cell r="E13">
            <v>0.25</v>
          </cell>
          <cell r="F13">
            <v>0.79</v>
          </cell>
          <cell r="G13">
            <v>2.5</v>
          </cell>
          <cell r="H13">
            <v>7.9</v>
          </cell>
          <cell r="I13">
            <v>25</v>
          </cell>
        </row>
        <row r="14">
          <cell r="B14">
            <v>15.5517384</v>
          </cell>
          <cell r="C14">
            <v>2.3E-2</v>
          </cell>
          <cell r="D14">
            <v>7.0999999999999994E-2</v>
          </cell>
          <cell r="E14">
            <v>0.23</v>
          </cell>
          <cell r="F14">
            <v>0.71</v>
          </cell>
          <cell r="G14">
            <v>2.2999999999999998</v>
          </cell>
          <cell r="H14">
            <v>7.1</v>
          </cell>
          <cell r="I14">
            <v>23</v>
          </cell>
        </row>
        <row r="15">
          <cell r="B15">
            <v>11.6638038</v>
          </cell>
          <cell r="C15">
            <v>2.1000000000000001E-2</v>
          </cell>
          <cell r="D15">
            <v>6.3E-2</v>
          </cell>
          <cell r="E15">
            <v>0.21</v>
          </cell>
          <cell r="F15">
            <v>0.63</v>
          </cell>
          <cell r="G15">
            <v>2.1</v>
          </cell>
          <cell r="H15">
            <v>6.3</v>
          </cell>
          <cell r="I15">
            <v>21</v>
          </cell>
        </row>
        <row r="16">
          <cell r="B16">
            <v>7.7758691999999998</v>
          </cell>
          <cell r="C16">
            <v>1.7999999999999999E-2</v>
          </cell>
          <cell r="D16">
            <v>5.6000000000000001E-2</v>
          </cell>
          <cell r="E16">
            <v>0.18</v>
          </cell>
          <cell r="F16">
            <v>0.56000000000000005</v>
          </cell>
          <cell r="G16">
            <v>1.8</v>
          </cell>
          <cell r="H16">
            <v>5.6</v>
          </cell>
          <cell r="I16">
            <v>18</v>
          </cell>
        </row>
        <row r="17">
          <cell r="B17">
            <v>3.8879345999999999</v>
          </cell>
          <cell r="C17">
            <v>1.4E-2</v>
          </cell>
          <cell r="D17">
            <v>4.5999999999999999E-2</v>
          </cell>
          <cell r="E17">
            <v>0.14000000000000001</v>
          </cell>
          <cell r="F17">
            <v>0.46</v>
          </cell>
          <cell r="G17">
            <v>1.4</v>
          </cell>
          <cell r="H17">
            <v>4.5999999999999996</v>
          </cell>
          <cell r="I17">
            <v>14</v>
          </cell>
        </row>
        <row r="18">
          <cell r="B18">
            <v>1.9439673</v>
          </cell>
          <cell r="C18">
            <v>1E-3</v>
          </cell>
          <cell r="D18">
            <v>0.03</v>
          </cell>
          <cell r="E18">
            <v>0.01</v>
          </cell>
          <cell r="F18">
            <v>0.3</v>
          </cell>
          <cell r="G18">
            <v>1</v>
          </cell>
          <cell r="H18">
            <v>3</v>
          </cell>
          <cell r="I18">
            <v>10</v>
          </cell>
        </row>
        <row r="19">
          <cell r="B19">
            <v>2.5919563999999999</v>
          </cell>
          <cell r="C19">
            <v>1.2999999999999999E-2</v>
          </cell>
          <cell r="D19">
            <v>4.2000000000000003E-2</v>
          </cell>
          <cell r="E19">
            <v>0.13</v>
          </cell>
          <cell r="F19">
            <v>0.42</v>
          </cell>
          <cell r="G19">
            <v>1.3</v>
          </cell>
          <cell r="H19">
            <v>4.2</v>
          </cell>
          <cell r="I19">
            <v>13</v>
          </cell>
        </row>
        <row r="20">
          <cell r="B20">
            <v>1.2959782</v>
          </cell>
          <cell r="C20">
            <v>1.0999999999999999E-2</v>
          </cell>
          <cell r="D20">
            <v>3.3000000000000002E-2</v>
          </cell>
          <cell r="E20">
            <v>0.11</v>
          </cell>
          <cell r="F20">
            <v>0.33</v>
          </cell>
          <cell r="G20">
            <v>1.1000000000000001</v>
          </cell>
          <cell r="H20">
            <v>3.3</v>
          </cell>
          <cell r="I20">
            <v>11</v>
          </cell>
        </row>
        <row r="21">
          <cell r="B21">
            <v>0.64798909999999998</v>
          </cell>
          <cell r="C21">
            <v>8.6E-3</v>
          </cell>
          <cell r="D21">
            <v>2.5999999999999999E-2</v>
          </cell>
          <cell r="E21">
            <v>8.5999999999999993E-2</v>
          </cell>
          <cell r="F21">
            <v>0.26</v>
          </cell>
          <cell r="G21">
            <v>0.86</v>
          </cell>
          <cell r="H21">
            <v>2.6</v>
          </cell>
          <cell r="I21" t="str">
            <v>---</v>
          </cell>
        </row>
      </sheetData>
      <sheetData sheetId="18">
        <row r="3">
          <cell r="B3">
            <v>647.98910000000001</v>
          </cell>
          <cell r="C3">
            <v>0.32</v>
          </cell>
          <cell r="D3">
            <v>1</v>
          </cell>
          <cell r="E3">
            <v>3.2</v>
          </cell>
          <cell r="F3">
            <v>10</v>
          </cell>
          <cell r="G3">
            <v>32</v>
          </cell>
          <cell r="H3">
            <v>104</v>
          </cell>
          <cell r="I3">
            <v>324</v>
          </cell>
        </row>
        <row r="4">
          <cell r="B4">
            <v>323.99455</v>
          </cell>
          <cell r="C4">
            <v>0.16</v>
          </cell>
          <cell r="D4">
            <v>0.51</v>
          </cell>
          <cell r="E4">
            <v>1.6</v>
          </cell>
          <cell r="F4">
            <v>5.0999999999999996</v>
          </cell>
          <cell r="G4">
            <v>16</v>
          </cell>
          <cell r="H4">
            <v>51</v>
          </cell>
          <cell r="I4">
            <v>162</v>
          </cell>
        </row>
        <row r="5">
          <cell r="B5">
            <v>194.39672999999999</v>
          </cell>
          <cell r="C5">
            <v>9.7000000000000003E-2</v>
          </cell>
          <cell r="D5">
            <v>0.28999999999999998</v>
          </cell>
          <cell r="E5">
            <v>0.97</v>
          </cell>
          <cell r="F5">
            <v>2.9</v>
          </cell>
          <cell r="G5">
            <v>9.6999999999999993</v>
          </cell>
          <cell r="H5">
            <v>29</v>
          </cell>
          <cell r="I5">
            <v>97</v>
          </cell>
        </row>
        <row r="6">
          <cell r="B6">
            <v>129.59782000000001</v>
          </cell>
          <cell r="C6">
            <v>5.8999999999999997E-2</v>
          </cell>
          <cell r="D6">
            <v>0.2</v>
          </cell>
          <cell r="E6">
            <v>0.65</v>
          </cell>
          <cell r="F6">
            <v>2</v>
          </cell>
          <cell r="G6">
            <v>6.5</v>
          </cell>
          <cell r="H6">
            <v>20</v>
          </cell>
          <cell r="I6">
            <v>65</v>
          </cell>
        </row>
        <row r="7">
          <cell r="B7">
            <v>64.798910000000006</v>
          </cell>
          <cell r="C7">
            <v>3.5000000000000003E-2</v>
          </cell>
          <cell r="D7">
            <v>0.12</v>
          </cell>
          <cell r="E7">
            <v>0.36</v>
          </cell>
          <cell r="F7">
            <v>1.2</v>
          </cell>
          <cell r="G7">
            <v>3.6</v>
          </cell>
          <cell r="H7">
            <v>12</v>
          </cell>
          <cell r="I7">
            <v>36</v>
          </cell>
        </row>
        <row r="8">
          <cell r="B8">
            <v>32.399455000000003</v>
          </cell>
          <cell r="C8">
            <v>2.7E-2</v>
          </cell>
          <cell r="D8">
            <v>8.8300000000000003E-2</v>
          </cell>
          <cell r="E8">
            <v>0.27</v>
          </cell>
          <cell r="F8">
            <v>0.88</v>
          </cell>
          <cell r="G8">
            <v>2.7</v>
          </cell>
          <cell r="H8">
            <v>8.8000000000000007</v>
          </cell>
          <cell r="I8">
            <v>27</v>
          </cell>
        </row>
        <row r="9">
          <cell r="B9">
            <v>19.439672999999999</v>
          </cell>
          <cell r="C9">
            <v>2.5000000000000001E-2</v>
          </cell>
          <cell r="D9">
            <v>7.8899999999999998E-2</v>
          </cell>
          <cell r="E9">
            <v>0.25</v>
          </cell>
          <cell r="F9">
            <v>0.79</v>
          </cell>
          <cell r="G9">
            <v>2.5</v>
          </cell>
          <cell r="H9">
            <v>7.9</v>
          </cell>
          <cell r="I9">
            <v>25</v>
          </cell>
        </row>
        <row r="10">
          <cell r="B10">
            <v>12.959782000000001</v>
          </cell>
          <cell r="C10">
            <v>2.1000000000000001E-2</v>
          </cell>
          <cell r="D10">
            <v>6.59E-2</v>
          </cell>
          <cell r="E10">
            <v>0.21</v>
          </cell>
          <cell r="F10">
            <v>0.66</v>
          </cell>
          <cell r="G10">
            <v>2.1</v>
          </cell>
          <cell r="H10">
            <v>6.6</v>
          </cell>
          <cell r="I10">
            <v>21</v>
          </cell>
        </row>
        <row r="11">
          <cell r="B11">
            <v>6.4798910000000003</v>
          </cell>
          <cell r="C11">
            <v>1.7000000000000001E-2</v>
          </cell>
          <cell r="D11">
            <v>5.2999999999999999E-2</v>
          </cell>
          <cell r="E11">
            <v>0.17</v>
          </cell>
          <cell r="F11">
            <v>0.53</v>
          </cell>
          <cell r="G11">
            <v>1.7</v>
          </cell>
          <cell r="H11">
            <v>5.3</v>
          </cell>
          <cell r="I11">
            <v>17</v>
          </cell>
        </row>
        <row r="12">
          <cell r="B12">
            <v>3.2399455000000001</v>
          </cell>
          <cell r="C12">
            <v>1.4E-2</v>
          </cell>
          <cell r="D12">
            <v>4.41E-2</v>
          </cell>
          <cell r="E12">
            <v>0.14000000000000001</v>
          </cell>
          <cell r="F12">
            <v>0.44</v>
          </cell>
          <cell r="G12">
            <v>1.4</v>
          </cell>
          <cell r="H12">
            <v>4.4000000000000004</v>
          </cell>
          <cell r="I12">
            <v>14</v>
          </cell>
        </row>
        <row r="13">
          <cell r="B13">
            <v>1.9439673</v>
          </cell>
          <cell r="C13">
            <v>1.2E-2</v>
          </cell>
          <cell r="D13">
            <v>3.9399999999999998E-2</v>
          </cell>
          <cell r="E13">
            <v>0.12</v>
          </cell>
          <cell r="F13">
            <v>0.39</v>
          </cell>
          <cell r="G13">
            <v>1.2</v>
          </cell>
          <cell r="H13">
            <v>3.9</v>
          </cell>
          <cell r="I13">
            <v>12</v>
          </cell>
        </row>
        <row r="14">
          <cell r="B14">
            <v>1.2959782</v>
          </cell>
          <cell r="C14">
            <v>1.0999999999999999E-2</v>
          </cell>
          <cell r="D14">
            <v>3.3000000000000002E-2</v>
          </cell>
          <cell r="E14">
            <v>0.11</v>
          </cell>
          <cell r="F14">
            <v>0.33</v>
          </cell>
          <cell r="G14">
            <v>1.1000000000000001</v>
          </cell>
          <cell r="H14">
            <v>3.3</v>
          </cell>
          <cell r="I14">
            <v>11</v>
          </cell>
        </row>
        <row r="15">
          <cell r="B15">
            <v>0.64798909999999998</v>
          </cell>
          <cell r="C15">
            <v>8.6E-3</v>
          </cell>
          <cell r="D15">
            <v>2.6499999999999999E-2</v>
          </cell>
          <cell r="E15">
            <v>8.5999999999999993E-2</v>
          </cell>
          <cell r="F15">
            <v>0.26</v>
          </cell>
          <cell r="G15">
            <v>0.86</v>
          </cell>
          <cell r="H15">
            <v>2.6</v>
          </cell>
          <cell r="I15" t="str">
            <v>---</v>
          </cell>
        </row>
        <row r="16">
          <cell r="B16">
            <v>0.32399454999999999</v>
          </cell>
          <cell r="C16">
            <v>6.7999999999999996E-3</v>
          </cell>
          <cell r="D16">
            <v>2.2100000000000002E-2</v>
          </cell>
          <cell r="E16">
            <v>6.8000000000000005E-2</v>
          </cell>
          <cell r="F16">
            <v>0.22</v>
          </cell>
          <cell r="G16">
            <v>0.68</v>
          </cell>
          <cell r="H16">
            <v>2.2000000000000002</v>
          </cell>
          <cell r="I16" t="str">
            <v>---</v>
          </cell>
        </row>
        <row r="17">
          <cell r="B17">
            <v>0.19439673000000002</v>
          </cell>
          <cell r="C17">
            <v>5.8999999999999999E-3</v>
          </cell>
          <cell r="D17">
            <v>1.9800000000000002E-2</v>
          </cell>
          <cell r="E17">
            <v>5.8999999999999997E-2</v>
          </cell>
          <cell r="F17">
            <v>0.2</v>
          </cell>
          <cell r="G17">
            <v>0.59</v>
          </cell>
          <cell r="H17">
            <v>2</v>
          </cell>
          <cell r="I17" t="str">
            <v>---</v>
          </cell>
        </row>
        <row r="18">
          <cell r="B18">
            <v>0.12959782</v>
          </cell>
          <cell r="C18">
            <v>5.3E-3</v>
          </cell>
          <cell r="D18">
            <v>1.72E-2</v>
          </cell>
          <cell r="E18">
            <v>5.2999999999999999E-2</v>
          </cell>
          <cell r="F18">
            <v>0.17</v>
          </cell>
          <cell r="G18">
            <v>0.53</v>
          </cell>
          <cell r="H18">
            <v>1.7</v>
          </cell>
          <cell r="I18" t="str">
            <v>---</v>
          </cell>
        </row>
        <row r="19">
          <cell r="B19">
            <v>6.4798910000000001E-2</v>
          </cell>
          <cell r="C19">
            <v>4.3E-3</v>
          </cell>
          <cell r="D19">
            <v>1.32E-2</v>
          </cell>
          <cell r="E19">
            <v>4.2999999999999997E-2</v>
          </cell>
          <cell r="F19">
            <v>0.13</v>
          </cell>
          <cell r="G19">
            <v>0.43</v>
          </cell>
          <cell r="H19" t="str">
            <v>---</v>
          </cell>
          <cell r="I19" t="str">
            <v>---</v>
          </cell>
        </row>
        <row r="20">
          <cell r="B20">
            <v>3.2399455000000001E-2</v>
          </cell>
          <cell r="C20">
            <v>3.3999999999999998E-3</v>
          </cell>
          <cell r="D20">
            <v>1.0800000000000001E-2</v>
          </cell>
          <cell r="E20">
            <v>3.4000000000000002E-2</v>
          </cell>
          <cell r="F20">
            <v>0.11</v>
          </cell>
          <cell r="G20">
            <v>0.34</v>
          </cell>
          <cell r="H20" t="str">
            <v>---</v>
          </cell>
          <cell r="I20" t="str">
            <v>---</v>
          </cell>
        </row>
        <row r="21">
          <cell r="B21">
            <v>1.9439673000000001E-2</v>
          </cell>
          <cell r="C21">
            <v>3.0000000000000001E-3</v>
          </cell>
          <cell r="D21">
            <v>9.9000000000000008E-3</v>
          </cell>
          <cell r="E21">
            <v>0.03</v>
          </cell>
          <cell r="F21">
            <v>9.9000000000000005E-2</v>
          </cell>
          <cell r="G21">
            <v>0.3</v>
          </cell>
          <cell r="H21" t="str">
            <v>---</v>
          </cell>
          <cell r="I21" t="str">
            <v>---</v>
          </cell>
        </row>
        <row r="22">
          <cell r="B22">
            <v>1.2959782000000001E-2</v>
          </cell>
          <cell r="C22">
            <v>3.0000000000000001E-3</v>
          </cell>
          <cell r="D22">
            <v>8.6E-3</v>
          </cell>
          <cell r="E22">
            <v>2.5999999999999999E-2</v>
          </cell>
          <cell r="F22">
            <v>8.5999999999999993E-2</v>
          </cell>
          <cell r="G22">
            <v>0.26</v>
          </cell>
          <cell r="H22" t="str">
            <v>---</v>
          </cell>
          <cell r="I22" t="str">
            <v>---</v>
          </cell>
        </row>
        <row r="23">
          <cell r="B23">
            <v>6.4798910000000006E-3</v>
          </cell>
          <cell r="C23">
            <v>3.0000000000000001E-3</v>
          </cell>
          <cell r="D23">
            <v>6.6E-3</v>
          </cell>
          <cell r="E23">
            <v>2.1000000000000001E-2</v>
          </cell>
          <cell r="F23">
            <v>6.6000000000000003E-2</v>
          </cell>
          <cell r="G23">
            <v>0.21</v>
          </cell>
          <cell r="H23" t="str">
            <v>---</v>
          </cell>
          <cell r="I23" t="str">
            <v>---</v>
          </cell>
        </row>
        <row r="24">
          <cell r="B24">
            <v>3.2399455000000003E-3</v>
          </cell>
          <cell r="C24">
            <v>3.0000000000000001E-3</v>
          </cell>
          <cell r="D24">
            <v>6.0000000000000001E-3</v>
          </cell>
          <cell r="E24">
            <v>0.02</v>
          </cell>
          <cell r="F24">
            <v>0.06</v>
          </cell>
          <cell r="G24">
            <v>0.2</v>
          </cell>
          <cell r="H24" t="str">
            <v>---</v>
          </cell>
          <cell r="I24" t="str">
            <v>---</v>
          </cell>
        </row>
        <row r="25">
          <cell r="B25">
            <v>1.9439672999999999E-3</v>
          </cell>
          <cell r="C25">
            <v>3.0000000000000001E-3</v>
          </cell>
          <cell r="D25">
            <v>6.0000000000000001E-3</v>
          </cell>
          <cell r="E25">
            <v>0.02</v>
          </cell>
          <cell r="F25">
            <v>0.06</v>
          </cell>
          <cell r="G25">
            <v>0.2</v>
          </cell>
          <cell r="H25" t="str">
            <v>---</v>
          </cell>
          <cell r="I25" t="str">
            <v>---</v>
          </cell>
        </row>
        <row r="26">
          <cell r="B26">
            <v>1.2959782E-3</v>
          </cell>
          <cell r="C26">
            <v>3.0000000000000001E-3</v>
          </cell>
          <cell r="D26">
            <v>6.0000000000000001E-3</v>
          </cell>
          <cell r="E26">
            <v>0.02</v>
          </cell>
          <cell r="F26">
            <v>0.06</v>
          </cell>
          <cell r="G26">
            <v>0.2</v>
          </cell>
          <cell r="H26" t="str">
            <v>---</v>
          </cell>
          <cell r="I26" t="str">
            <v>---</v>
          </cell>
        </row>
        <row r="27">
          <cell r="B27">
            <v>6.479891E-4</v>
          </cell>
          <cell r="C27">
            <v>3.0000000000000001E-3</v>
          </cell>
          <cell r="D27">
            <v>6.0000000000000001E-3</v>
          </cell>
          <cell r="E27">
            <v>0.02</v>
          </cell>
          <cell r="F27">
            <v>0.06</v>
          </cell>
          <cell r="G27">
            <v>0.2</v>
          </cell>
          <cell r="H27" t="str">
            <v>---</v>
          </cell>
          <cell r="I27" t="str">
            <v>---</v>
          </cell>
        </row>
      </sheetData>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2:C9" totalsRowShown="0" headerRowDxfId="42" dataDxfId="41">
  <autoFilter ref="A2:C9" xr:uid="{00000000-0009-0000-0100-000003000000}"/>
  <sortState ref="A3:C6">
    <sortCondition ref="A1:A5"/>
  </sortState>
  <tableColumns count="3">
    <tableColumn id="1" xr3:uid="{00000000-0010-0000-0000-000001000000}" name="Date" dataDxfId="40"/>
    <tableColumn id="2" xr3:uid="{00000000-0010-0000-0000-000002000000}" name="Description" dataDxfId="39"/>
    <tableColumn id="3" xr3:uid="{00000000-0010-0000-0000-000003000000}" name="Initials" dataDxfId="38"/>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 displayName="Table14" ref="A15:B34" totalsRowShown="0" headerRowDxfId="37" dataDxfId="36">
  <autoFilter ref="A15:B34" xr:uid="{00000000-0009-0000-0100-000001000000}"/>
  <sortState ref="A17:C20">
    <sortCondition ref="A1:A5"/>
  </sortState>
  <tableColumns count="2">
    <tableColumn id="1" xr3:uid="{00000000-0010-0000-0100-000001000000}" name="Name" dataDxfId="35"/>
    <tableColumn id="2" xr3:uid="{00000000-0010-0000-0100-000002000000}" name="Range" dataDxfId="34"/>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45" displayName="Table145" ref="A2:B13" totalsRowShown="0" headerRowDxfId="33" dataDxfId="32">
  <autoFilter ref="A2:B13" xr:uid="{00000000-0009-0000-0100-000002000000}"/>
  <sortState ref="A3:C6">
    <sortCondition ref="A1:A5"/>
  </sortState>
  <tableColumns count="2">
    <tableColumn id="1" xr3:uid="{00000000-0010-0000-0200-000001000000}" name="No." dataDxfId="31"/>
    <tableColumn id="2" xr3:uid="{00000000-0010-0000-0200-000002000000}" name="Description" dataDxfId="3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H57"/>
  <sheetViews>
    <sheetView showGridLines="0" zoomScaleNormal="100" workbookViewId="0">
      <selection activeCell="D11" sqref="D11"/>
    </sheetView>
  </sheetViews>
  <sheetFormatPr defaultColWidth="0" defaultRowHeight="0" customHeight="1" zeroHeight="1" x14ac:dyDescent="0.2"/>
  <cols>
    <col min="1" max="1" width="15.7109375" style="2" customWidth="1"/>
    <col min="2" max="2" width="75" style="2" customWidth="1"/>
    <col min="3" max="3" width="12.28515625" style="122" customWidth="1"/>
    <col min="4" max="4" width="75" style="2" customWidth="1"/>
    <col min="5" max="5" width="4.140625" style="2" customWidth="1"/>
    <col min="6" max="16384" width="10.28515625" style="2" hidden="1"/>
  </cols>
  <sheetData>
    <row r="1" spans="1:4" s="26" customFormat="1" ht="21" x14ac:dyDescent="0.35">
      <c r="A1" s="25" t="s">
        <v>60</v>
      </c>
      <c r="C1" s="27"/>
    </row>
    <row r="2" spans="1:4" s="29" customFormat="1" ht="18" x14ac:dyDescent="0.35">
      <c r="A2" s="28"/>
      <c r="C2" s="30"/>
    </row>
    <row r="3" spans="1:4" s="29" customFormat="1" ht="36" x14ac:dyDescent="0.35">
      <c r="A3" s="31" t="s">
        <v>61</v>
      </c>
      <c r="B3" s="32" t="s">
        <v>332</v>
      </c>
      <c r="C3" s="31" t="s">
        <v>62</v>
      </c>
      <c r="D3" s="33">
        <v>42286</v>
      </c>
    </row>
    <row r="4" spans="1:4" s="29" customFormat="1" ht="36" x14ac:dyDescent="0.35">
      <c r="A4" s="31" t="s">
        <v>63</v>
      </c>
      <c r="B4" s="32" t="s">
        <v>64</v>
      </c>
      <c r="C4" s="31" t="s">
        <v>65</v>
      </c>
      <c r="D4" s="34" t="s">
        <v>64</v>
      </c>
    </row>
    <row r="5" spans="1:4" s="39" customFormat="1" ht="18" customHeight="1" x14ac:dyDescent="0.2">
      <c r="A5" s="35" t="s">
        <v>66</v>
      </c>
      <c r="B5" s="36" t="s">
        <v>67</v>
      </c>
      <c r="C5" s="37" t="s">
        <v>68</v>
      </c>
      <c r="D5" s="38" t="s">
        <v>69</v>
      </c>
    </row>
    <row r="6" spans="1:4" ht="18" customHeight="1" x14ac:dyDescent="0.2">
      <c r="A6" s="232" t="s">
        <v>70</v>
      </c>
      <c r="B6" s="40" t="s">
        <v>71</v>
      </c>
      <c r="C6" s="41" t="s">
        <v>72</v>
      </c>
      <c r="D6" s="42" t="s">
        <v>73</v>
      </c>
    </row>
    <row r="7" spans="1:4" ht="18" customHeight="1" x14ac:dyDescent="0.2">
      <c r="A7" s="235"/>
      <c r="B7" s="43" t="s">
        <v>74</v>
      </c>
      <c r="C7" s="44" t="s">
        <v>72</v>
      </c>
      <c r="D7" s="45" t="s">
        <v>75</v>
      </c>
    </row>
    <row r="8" spans="1:4" ht="36" customHeight="1" x14ac:dyDescent="0.2">
      <c r="A8" s="235"/>
      <c r="B8" s="46" t="s">
        <v>76</v>
      </c>
      <c r="C8" s="47" t="s">
        <v>72</v>
      </c>
      <c r="D8" s="48" t="s">
        <v>77</v>
      </c>
    </row>
    <row r="9" spans="1:4" ht="36" customHeight="1" x14ac:dyDescent="0.2">
      <c r="A9" s="235"/>
      <c r="B9" s="43" t="s">
        <v>78</v>
      </c>
      <c r="C9" s="44" t="s">
        <v>72</v>
      </c>
      <c r="D9" s="45" t="s">
        <v>79</v>
      </c>
    </row>
    <row r="10" spans="1:4" ht="36" customHeight="1" x14ac:dyDescent="0.2">
      <c r="A10" s="235"/>
      <c r="B10" s="46" t="s">
        <v>80</v>
      </c>
      <c r="C10" s="47" t="s">
        <v>72</v>
      </c>
      <c r="D10" s="48" t="s">
        <v>333</v>
      </c>
    </row>
    <row r="11" spans="1:4" ht="18" customHeight="1" x14ac:dyDescent="0.2">
      <c r="A11" s="235"/>
      <c r="B11" s="43" t="s">
        <v>81</v>
      </c>
      <c r="C11" s="44" t="s">
        <v>38</v>
      </c>
      <c r="D11" s="45" t="s">
        <v>82</v>
      </c>
    </row>
    <row r="12" spans="1:4" ht="18" customHeight="1" x14ac:dyDescent="0.2">
      <c r="A12" s="235"/>
      <c r="B12" s="46" t="s">
        <v>83</v>
      </c>
      <c r="C12" s="47" t="s">
        <v>72</v>
      </c>
      <c r="D12" s="48" t="s">
        <v>84</v>
      </c>
    </row>
    <row r="13" spans="1:4" ht="36.75" customHeight="1" x14ac:dyDescent="0.2">
      <c r="A13" s="235"/>
      <c r="B13" s="43" t="s">
        <v>85</v>
      </c>
      <c r="C13" s="44" t="s">
        <v>72</v>
      </c>
      <c r="D13" s="45" t="s">
        <v>227</v>
      </c>
    </row>
    <row r="14" spans="1:4" ht="18" customHeight="1" x14ac:dyDescent="0.2">
      <c r="A14" s="235"/>
      <c r="B14" s="46" t="s">
        <v>86</v>
      </c>
      <c r="C14" s="47" t="s">
        <v>72</v>
      </c>
      <c r="D14" s="48" t="s">
        <v>87</v>
      </c>
    </row>
    <row r="15" spans="1:4" ht="18" customHeight="1" x14ac:dyDescent="0.2">
      <c r="A15" s="235"/>
      <c r="B15" s="43" t="s">
        <v>88</v>
      </c>
      <c r="C15" s="44" t="s">
        <v>72</v>
      </c>
      <c r="D15" s="45" t="s">
        <v>89</v>
      </c>
    </row>
    <row r="16" spans="1:4" ht="18" customHeight="1" x14ac:dyDescent="0.2">
      <c r="A16" s="235"/>
      <c r="B16" s="46" t="s">
        <v>90</v>
      </c>
      <c r="C16" s="47" t="s">
        <v>72</v>
      </c>
      <c r="D16" s="48" t="s">
        <v>91</v>
      </c>
    </row>
    <row r="17" spans="1:4" ht="18" customHeight="1" x14ac:dyDescent="0.2">
      <c r="A17" s="235"/>
      <c r="B17" s="43" t="s">
        <v>92</v>
      </c>
      <c r="C17" s="44" t="s">
        <v>72</v>
      </c>
      <c r="D17" s="45" t="s">
        <v>91</v>
      </c>
    </row>
    <row r="18" spans="1:4" ht="18" customHeight="1" x14ac:dyDescent="0.2">
      <c r="A18" s="235"/>
      <c r="B18" s="49" t="s">
        <v>93</v>
      </c>
      <c r="C18" s="50" t="s">
        <v>72</v>
      </c>
      <c r="D18" s="51" t="s">
        <v>91</v>
      </c>
    </row>
    <row r="19" spans="1:4" ht="18" customHeight="1" x14ac:dyDescent="0.2">
      <c r="A19" s="236" t="s">
        <v>94</v>
      </c>
      <c r="B19" s="52" t="s">
        <v>95</v>
      </c>
      <c r="C19" s="53" t="s">
        <v>72</v>
      </c>
      <c r="D19" s="54" t="s">
        <v>99</v>
      </c>
    </row>
    <row r="20" spans="1:4" ht="18" customHeight="1" x14ac:dyDescent="0.2">
      <c r="A20" s="236"/>
      <c r="B20" s="55" t="s">
        <v>96</v>
      </c>
      <c r="C20" s="56" t="s">
        <v>72</v>
      </c>
      <c r="D20" s="57" t="s">
        <v>97</v>
      </c>
    </row>
    <row r="21" spans="1:4" ht="18" customHeight="1" x14ac:dyDescent="0.2">
      <c r="A21" s="236"/>
      <c r="B21" s="58" t="s">
        <v>98</v>
      </c>
      <c r="C21" s="59" t="s">
        <v>72</v>
      </c>
      <c r="D21" s="60" t="s">
        <v>99</v>
      </c>
    </row>
    <row r="22" spans="1:4" ht="36" customHeight="1" x14ac:dyDescent="0.2">
      <c r="A22" s="236"/>
      <c r="B22" s="61" t="s">
        <v>100</v>
      </c>
      <c r="C22" s="62" t="s">
        <v>72</v>
      </c>
      <c r="D22" s="63"/>
    </row>
    <row r="23" spans="1:4" ht="18" customHeight="1" x14ac:dyDescent="0.2">
      <c r="A23" s="237" t="s">
        <v>101</v>
      </c>
      <c r="B23" s="64" t="s">
        <v>102</v>
      </c>
      <c r="C23" s="65" t="s">
        <v>72</v>
      </c>
      <c r="D23" s="66" t="s">
        <v>103</v>
      </c>
    </row>
    <row r="24" spans="1:4" ht="18" customHeight="1" x14ac:dyDescent="0.2">
      <c r="A24" s="237"/>
      <c r="B24" s="67" t="s">
        <v>104</v>
      </c>
      <c r="C24" s="68" t="s">
        <v>72</v>
      </c>
      <c r="D24" s="69" t="s">
        <v>105</v>
      </c>
    </row>
    <row r="25" spans="1:4" ht="36" customHeight="1" x14ac:dyDescent="0.2">
      <c r="A25" s="237"/>
      <c r="B25" s="64" t="s">
        <v>106</v>
      </c>
      <c r="C25" s="65" t="s">
        <v>38</v>
      </c>
      <c r="D25" s="66"/>
    </row>
    <row r="26" spans="1:4" ht="18" customHeight="1" x14ac:dyDescent="0.2">
      <c r="A26" s="237"/>
      <c r="B26" s="70" t="s">
        <v>107</v>
      </c>
      <c r="C26" s="71" t="s">
        <v>38</v>
      </c>
      <c r="D26" s="72" t="s">
        <v>82</v>
      </c>
    </row>
    <row r="27" spans="1:4" ht="36" customHeight="1" x14ac:dyDescent="0.2">
      <c r="A27" s="233" t="s">
        <v>108</v>
      </c>
      <c r="B27" s="73" t="s">
        <v>109</v>
      </c>
      <c r="C27" s="74" t="s">
        <v>38</v>
      </c>
      <c r="D27" s="75"/>
    </row>
    <row r="28" spans="1:4" ht="36" customHeight="1" x14ac:dyDescent="0.2">
      <c r="A28" s="233"/>
      <c r="B28" s="76" t="s">
        <v>110</v>
      </c>
      <c r="C28" s="77" t="s">
        <v>38</v>
      </c>
      <c r="D28" s="78"/>
    </row>
    <row r="29" spans="1:4" ht="36" customHeight="1" x14ac:dyDescent="0.2">
      <c r="A29" s="233"/>
      <c r="B29" s="79" t="s">
        <v>111</v>
      </c>
      <c r="C29" s="80" t="s">
        <v>38</v>
      </c>
      <c r="D29" s="81"/>
    </row>
    <row r="30" spans="1:4" ht="18" customHeight="1" x14ac:dyDescent="0.2">
      <c r="A30" s="238" t="s">
        <v>112</v>
      </c>
      <c r="B30" s="82" t="s">
        <v>113</v>
      </c>
      <c r="C30" s="83" t="s">
        <v>38</v>
      </c>
      <c r="D30" s="84" t="s">
        <v>114</v>
      </c>
    </row>
    <row r="31" spans="1:4" ht="18" customHeight="1" x14ac:dyDescent="0.2">
      <c r="A31" s="238"/>
      <c r="B31" s="85" t="s">
        <v>115</v>
      </c>
      <c r="C31" s="86" t="s">
        <v>38</v>
      </c>
      <c r="D31" s="87" t="s">
        <v>116</v>
      </c>
    </row>
    <row r="32" spans="1:4" ht="18" customHeight="1" x14ac:dyDescent="0.2">
      <c r="A32" s="238"/>
      <c r="B32" s="88" t="s">
        <v>117</v>
      </c>
      <c r="C32" s="89" t="s">
        <v>38</v>
      </c>
      <c r="D32" s="90"/>
    </row>
    <row r="33" spans="1:4" ht="18" customHeight="1" x14ac:dyDescent="0.2">
      <c r="A33" s="238"/>
      <c r="B33" s="85" t="s">
        <v>118</v>
      </c>
      <c r="C33" s="86" t="s">
        <v>72</v>
      </c>
      <c r="D33" s="87" t="s">
        <v>119</v>
      </c>
    </row>
    <row r="34" spans="1:4" ht="18" customHeight="1" x14ac:dyDescent="0.2">
      <c r="A34" s="238"/>
      <c r="B34" s="88" t="s">
        <v>120</v>
      </c>
      <c r="C34" s="89" t="s">
        <v>72</v>
      </c>
      <c r="D34" s="90" t="s">
        <v>121</v>
      </c>
    </row>
    <row r="35" spans="1:4" ht="18" customHeight="1" x14ac:dyDescent="0.2">
      <c r="A35" s="238"/>
      <c r="B35" s="91" t="s">
        <v>122</v>
      </c>
      <c r="C35" s="92" t="s">
        <v>72</v>
      </c>
      <c r="D35" s="93" t="s">
        <v>123</v>
      </c>
    </row>
    <row r="36" spans="1:4" ht="36" customHeight="1" x14ac:dyDescent="0.2">
      <c r="A36" s="239" t="s">
        <v>124</v>
      </c>
      <c r="B36" s="94" t="s">
        <v>125</v>
      </c>
      <c r="C36" s="95" t="s">
        <v>72</v>
      </c>
      <c r="D36" s="96" t="s">
        <v>126</v>
      </c>
    </row>
    <row r="37" spans="1:4" ht="18" customHeight="1" x14ac:dyDescent="0.2">
      <c r="A37" s="239"/>
      <c r="B37" s="97" t="s">
        <v>127</v>
      </c>
      <c r="C37" s="98" t="s">
        <v>38</v>
      </c>
      <c r="D37" s="99"/>
    </row>
    <row r="38" spans="1:4" ht="18" customHeight="1" x14ac:dyDescent="0.2">
      <c r="A38" s="239"/>
      <c r="B38" s="97" t="s">
        <v>128</v>
      </c>
      <c r="C38" s="98" t="s">
        <v>38</v>
      </c>
      <c r="D38" s="99"/>
    </row>
    <row r="39" spans="1:4" ht="54" customHeight="1" x14ac:dyDescent="0.2">
      <c r="A39" s="239"/>
      <c r="B39" s="100" t="s">
        <v>129</v>
      </c>
      <c r="C39" s="101" t="s">
        <v>38</v>
      </c>
      <c r="D39" s="102"/>
    </row>
    <row r="40" spans="1:4" ht="36" customHeight="1" x14ac:dyDescent="0.2">
      <c r="A40" s="231" t="s">
        <v>130</v>
      </c>
      <c r="B40" s="40" t="s">
        <v>131</v>
      </c>
      <c r="C40" s="41" t="s">
        <v>38</v>
      </c>
      <c r="D40" s="42" t="s">
        <v>132</v>
      </c>
    </row>
    <row r="41" spans="1:4" ht="36" customHeight="1" x14ac:dyDescent="0.2">
      <c r="A41" s="232"/>
      <c r="B41" s="103" t="s">
        <v>133</v>
      </c>
      <c r="C41" s="104" t="s">
        <v>38</v>
      </c>
      <c r="D41" s="105"/>
    </row>
    <row r="42" spans="1:4" ht="54" customHeight="1" x14ac:dyDescent="0.2">
      <c r="A42" s="106" t="s">
        <v>134</v>
      </c>
      <c r="B42" s="107" t="s">
        <v>135</v>
      </c>
      <c r="C42" s="108" t="s">
        <v>38</v>
      </c>
      <c r="D42" s="109"/>
    </row>
    <row r="43" spans="1:4" ht="63.75" customHeight="1" x14ac:dyDescent="0.2">
      <c r="A43" s="110" t="s">
        <v>136</v>
      </c>
      <c r="B43" s="111" t="s">
        <v>137</v>
      </c>
      <c r="C43" s="112" t="s">
        <v>72</v>
      </c>
      <c r="D43" s="113" t="s">
        <v>236</v>
      </c>
    </row>
    <row r="44" spans="1:4" ht="36" customHeight="1" x14ac:dyDescent="0.2">
      <c r="A44" s="233" t="s">
        <v>138</v>
      </c>
      <c r="B44" s="73" t="s">
        <v>139</v>
      </c>
      <c r="C44" s="74" t="s">
        <v>72</v>
      </c>
      <c r="D44" s="114" t="s">
        <v>140</v>
      </c>
    </row>
    <row r="45" spans="1:4" ht="18" customHeight="1" x14ac:dyDescent="0.2">
      <c r="A45" s="233"/>
      <c r="B45" s="76" t="s">
        <v>141</v>
      </c>
      <c r="C45" s="77" t="s">
        <v>72</v>
      </c>
      <c r="D45" s="76" t="s">
        <v>140</v>
      </c>
    </row>
    <row r="46" spans="1:4" ht="18" customHeight="1" x14ac:dyDescent="0.2">
      <c r="A46" s="233"/>
      <c r="B46" s="115" t="s">
        <v>142</v>
      </c>
      <c r="C46" s="116" t="s">
        <v>72</v>
      </c>
      <c r="D46" s="117" t="s">
        <v>143</v>
      </c>
    </row>
    <row r="47" spans="1:4" ht="18" customHeight="1" x14ac:dyDescent="0.2">
      <c r="A47" s="233"/>
      <c r="B47" s="76" t="s">
        <v>144</v>
      </c>
      <c r="C47" s="77" t="s">
        <v>72</v>
      </c>
      <c r="D47" s="118" t="s">
        <v>145</v>
      </c>
    </row>
    <row r="48" spans="1:4" ht="18" customHeight="1" x14ac:dyDescent="0.2">
      <c r="A48" s="233"/>
      <c r="B48" s="115" t="s">
        <v>146</v>
      </c>
      <c r="C48" s="116" t="s">
        <v>72</v>
      </c>
      <c r="D48" s="117" t="s">
        <v>147</v>
      </c>
    </row>
    <row r="49" spans="1:8" ht="18" customHeight="1" x14ac:dyDescent="0.2">
      <c r="A49" s="233"/>
      <c r="B49" s="119" t="s">
        <v>148</v>
      </c>
      <c r="C49" s="120" t="s">
        <v>72</v>
      </c>
      <c r="D49" s="121"/>
    </row>
    <row r="50" spans="1:8" ht="12.75" x14ac:dyDescent="0.2"/>
    <row r="51" spans="1:8" ht="12.75" hidden="1" x14ac:dyDescent="0.2"/>
    <row r="52" spans="1:8" ht="12.75" hidden="1" x14ac:dyDescent="0.2"/>
    <row r="53" spans="1:8" ht="12.75" hidden="1" x14ac:dyDescent="0.2"/>
    <row r="54" spans="1:8" ht="12.75" hidden="1" x14ac:dyDescent="0.2"/>
    <row r="55" spans="1:8" ht="12.75" hidden="1" x14ac:dyDescent="0.2"/>
    <row r="56" spans="1:8" ht="12.75" hidden="1" x14ac:dyDescent="0.2"/>
    <row r="57" spans="1:8" ht="12.75" hidden="1" x14ac:dyDescent="0.2">
      <c r="E57" s="234"/>
      <c r="F57" s="234"/>
      <c r="G57" s="123"/>
      <c r="H57" s="123"/>
    </row>
  </sheetData>
  <sheetProtection password="83AF" sheet="1" objects="1" scenarios="1"/>
  <mergeCells count="9">
    <mergeCell ref="A40:A41"/>
    <mergeCell ref="A44:A49"/>
    <mergeCell ref="E57:F57"/>
    <mergeCell ref="A6:A18"/>
    <mergeCell ref="A19:A22"/>
    <mergeCell ref="A23:A26"/>
    <mergeCell ref="A27:A29"/>
    <mergeCell ref="A30:A35"/>
    <mergeCell ref="A36:A39"/>
  </mergeCells>
  <dataValidations count="1">
    <dataValidation type="list" allowBlank="1" showInputMessage="1" showErrorMessage="1" sqref="C6:C49" xr:uid="{00000000-0002-0000-0000-000000000000}">
      <formula1>"Pass,Fail,N/A"</formula1>
    </dataValidation>
  </dataValidations>
  <printOptions horizontalCentered="1"/>
  <pageMargins left="0.5" right="0.5" top="0.75" bottom="0.75" header="0.3" footer="0.3"/>
  <pageSetup scale="61" fitToHeight="2" orientation="landscape" r:id="rId1"/>
  <headerFooter>
    <oddHeader>&amp;LWeights and Measures Program
Metrology Laboratory&amp;RWAQCF-018, Rev. 04, 8/9/2010</oddHeader>
    <oddFooter>&amp;RPage &amp;P of &amp;N</oddFooter>
  </headerFooter>
  <rowBreaks count="1" manualBreakCount="1">
    <brk id="2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C9"/>
  <sheetViews>
    <sheetView showGridLines="0" workbookViewId="0">
      <selection activeCell="A9" sqref="A9"/>
    </sheetView>
  </sheetViews>
  <sheetFormatPr defaultColWidth="0" defaultRowHeight="18" x14ac:dyDescent="0.2"/>
  <cols>
    <col min="1" max="1" width="14.5703125" style="226" customWidth="1"/>
    <col min="2" max="2" width="72.140625" style="13" customWidth="1"/>
    <col min="3" max="3" width="10.5703125" style="21" customWidth="1"/>
    <col min="4" max="4" width="3.7109375" style="13" customWidth="1"/>
    <col min="5" max="16384" width="0" style="13" hidden="1"/>
  </cols>
  <sheetData>
    <row r="1" spans="1:3" ht="18.75" x14ac:dyDescent="0.3">
      <c r="A1" s="225" t="s">
        <v>58</v>
      </c>
      <c r="B1" s="12"/>
      <c r="C1" s="12"/>
    </row>
    <row r="2" spans="1:3" x14ac:dyDescent="0.2">
      <c r="A2" s="14" t="s">
        <v>1</v>
      </c>
      <c r="B2" s="15" t="s">
        <v>51</v>
      </c>
      <c r="C2" s="22" t="s">
        <v>59</v>
      </c>
    </row>
    <row r="3" spans="1:3" ht="36" x14ac:dyDescent="0.2">
      <c r="A3" s="14">
        <v>40421</v>
      </c>
      <c r="B3" s="15" t="s">
        <v>235</v>
      </c>
      <c r="C3" s="23" t="s">
        <v>19</v>
      </c>
    </row>
    <row r="4" spans="1:3" ht="72" x14ac:dyDescent="0.2">
      <c r="A4" s="14">
        <v>40421</v>
      </c>
      <c r="B4" s="24" t="s">
        <v>251</v>
      </c>
      <c r="C4" s="23" t="s">
        <v>19</v>
      </c>
    </row>
    <row r="5" spans="1:3" x14ac:dyDescent="0.2">
      <c r="A5" s="14">
        <v>42286</v>
      </c>
      <c r="B5" s="22" t="s">
        <v>328</v>
      </c>
      <c r="C5" s="23" t="s">
        <v>19</v>
      </c>
    </row>
    <row r="6" spans="1:3" x14ac:dyDescent="0.2">
      <c r="A6" s="14">
        <v>42286</v>
      </c>
      <c r="B6" s="22" t="s">
        <v>329</v>
      </c>
      <c r="C6" s="23" t="s">
        <v>19</v>
      </c>
    </row>
    <row r="7" spans="1:3" x14ac:dyDescent="0.2">
      <c r="A7" s="14">
        <v>42286</v>
      </c>
      <c r="B7" s="22" t="s">
        <v>330</v>
      </c>
      <c r="C7" s="23" t="s">
        <v>19</v>
      </c>
    </row>
    <row r="8" spans="1:3" ht="72" x14ac:dyDescent="0.2">
      <c r="A8" s="14">
        <v>42286</v>
      </c>
      <c r="B8" s="24" t="s">
        <v>331</v>
      </c>
      <c r="C8" s="23" t="s">
        <v>19</v>
      </c>
    </row>
    <row r="9" spans="1:3" x14ac:dyDescent="0.2">
      <c r="A9" s="14"/>
      <c r="B9" s="22"/>
      <c r="C9" s="23"/>
    </row>
  </sheetData>
  <sheetProtection password="83AF" sheet="1" objects="1" scenarios="1"/>
  <printOptions horizontalCentered="1"/>
  <pageMargins left="0.5" right="0.5" top="1" bottom="1.25" header="0.5" footer="0.5"/>
  <pageSetup orientation="landscape" horizontalDpi="1200" r:id="rId1"/>
  <headerFooter scaleWithDoc="0" alignWithMargins="0">
    <oddHeader>&amp;L&amp;"Trebuchet MS,Regular"&amp;12Advanced Mass Control Chart&amp;R&amp;"Trebuchet MS,Regular"&amp;12WAQCF-021, Rev. 01, 10/9/2015</oddHeader>
    <oddFooter>&amp;L&amp;"Trebuchet MS,Regular"&amp;12&amp;F&amp;R&amp;"Trebuchet MS,Regular"&amp;12&amp;A Worksheet 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34"/>
  <sheetViews>
    <sheetView showGridLines="0" tabSelected="1" workbookViewId="0"/>
  </sheetViews>
  <sheetFormatPr defaultColWidth="0" defaultRowHeight="18" x14ac:dyDescent="0.2"/>
  <cols>
    <col min="1" max="1" width="18.28515625" style="21" customWidth="1"/>
    <col min="2" max="2" width="72.140625" style="13" customWidth="1"/>
    <col min="3" max="3" width="3.7109375" style="13" customWidth="1"/>
    <col min="4" max="16384" width="0" style="13" hidden="1"/>
  </cols>
  <sheetData>
    <row r="1" spans="1:2" ht="18.75" x14ac:dyDescent="0.3">
      <c r="A1" s="12" t="s">
        <v>49</v>
      </c>
      <c r="B1" s="12"/>
    </row>
    <row r="2" spans="1:2" x14ac:dyDescent="0.2">
      <c r="A2" s="14" t="s">
        <v>50</v>
      </c>
      <c r="B2" s="15" t="s">
        <v>51</v>
      </c>
    </row>
    <row r="3" spans="1:2" ht="36" x14ac:dyDescent="0.2">
      <c r="A3" s="16">
        <v>1</v>
      </c>
      <c r="B3" s="15" t="s">
        <v>225</v>
      </c>
    </row>
    <row r="4" spans="1:2" ht="108" x14ac:dyDescent="0.2">
      <c r="A4" s="16">
        <v>2</v>
      </c>
      <c r="B4" s="15" t="s">
        <v>334</v>
      </c>
    </row>
    <row r="5" spans="1:2" ht="72" x14ac:dyDescent="0.2">
      <c r="A5" s="16">
        <v>3</v>
      </c>
      <c r="B5" s="15" t="s">
        <v>232</v>
      </c>
    </row>
    <row r="6" spans="1:2" ht="54" x14ac:dyDescent="0.2">
      <c r="A6" s="16">
        <v>4</v>
      </c>
      <c r="B6" s="15" t="s">
        <v>233</v>
      </c>
    </row>
    <row r="7" spans="1:2" ht="54" x14ac:dyDescent="0.2">
      <c r="A7" s="16">
        <v>5</v>
      </c>
      <c r="B7" s="15" t="s">
        <v>335</v>
      </c>
    </row>
    <row r="8" spans="1:2" ht="36" x14ac:dyDescent="0.2">
      <c r="A8" s="16">
        <v>6</v>
      </c>
      <c r="B8" s="15" t="s">
        <v>52</v>
      </c>
    </row>
    <row r="9" spans="1:2" ht="36" x14ac:dyDescent="0.2">
      <c r="A9" s="16">
        <v>7</v>
      </c>
      <c r="B9" s="15" t="s">
        <v>234</v>
      </c>
    </row>
    <row r="10" spans="1:2" x14ac:dyDescent="0.2">
      <c r="A10" s="16">
        <v>8</v>
      </c>
      <c r="B10" s="15" t="s">
        <v>369</v>
      </c>
    </row>
    <row r="11" spans="1:2" ht="36" x14ac:dyDescent="0.2">
      <c r="A11" s="16">
        <v>9</v>
      </c>
      <c r="B11" s="230" t="s">
        <v>370</v>
      </c>
    </row>
    <row r="12" spans="1:2" x14ac:dyDescent="0.2">
      <c r="A12" s="16">
        <v>10</v>
      </c>
      <c r="B12" s="15" t="s">
        <v>336</v>
      </c>
    </row>
    <row r="13" spans="1:2" ht="36" x14ac:dyDescent="0.2">
      <c r="A13" s="16">
        <v>12</v>
      </c>
      <c r="B13" s="15" t="s">
        <v>226</v>
      </c>
    </row>
    <row r="14" spans="1:2" ht="18.75" x14ac:dyDescent="0.3">
      <c r="A14" s="12" t="s">
        <v>53</v>
      </c>
      <c r="B14" s="12"/>
    </row>
    <row r="15" spans="1:2" x14ac:dyDescent="0.2">
      <c r="A15" s="14" t="s">
        <v>54</v>
      </c>
      <c r="B15" s="15" t="s">
        <v>55</v>
      </c>
    </row>
    <row r="16" spans="1:2" x14ac:dyDescent="0.2">
      <c r="A16" s="16" t="s">
        <v>337</v>
      </c>
      <c r="B16" s="17" t="s">
        <v>338</v>
      </c>
    </row>
    <row r="17" spans="1:2" x14ac:dyDescent="0.2">
      <c r="A17" s="16" t="s">
        <v>339</v>
      </c>
      <c r="B17" s="17" t="s">
        <v>340</v>
      </c>
    </row>
    <row r="18" spans="1:2" x14ac:dyDescent="0.2">
      <c r="A18" s="16" t="s">
        <v>341</v>
      </c>
      <c r="B18" s="18" t="s">
        <v>342</v>
      </c>
    </row>
    <row r="19" spans="1:2" x14ac:dyDescent="0.2">
      <c r="A19" s="19" t="s">
        <v>343</v>
      </c>
      <c r="B19" s="20" t="s">
        <v>344</v>
      </c>
    </row>
    <row r="20" spans="1:2" x14ac:dyDescent="0.2">
      <c r="A20" s="149" t="s">
        <v>345</v>
      </c>
      <c r="B20" s="150" t="s">
        <v>346</v>
      </c>
    </row>
    <row r="21" spans="1:2" x14ac:dyDescent="0.2">
      <c r="A21" s="149" t="s">
        <v>347</v>
      </c>
      <c r="B21" s="150" t="s">
        <v>348</v>
      </c>
    </row>
    <row r="22" spans="1:2" x14ac:dyDescent="0.2">
      <c r="A22" s="227" t="s">
        <v>349</v>
      </c>
      <c r="B22" s="228" t="s">
        <v>350</v>
      </c>
    </row>
    <row r="23" spans="1:2" x14ac:dyDescent="0.2">
      <c r="A23" s="227" t="s">
        <v>56</v>
      </c>
      <c r="B23" s="228" t="s">
        <v>57</v>
      </c>
    </row>
    <row r="24" spans="1:2" x14ac:dyDescent="0.2">
      <c r="A24" s="227" t="s">
        <v>222</v>
      </c>
      <c r="B24" s="228" t="s">
        <v>351</v>
      </c>
    </row>
    <row r="25" spans="1:2" x14ac:dyDescent="0.2">
      <c r="A25" s="227" t="s">
        <v>352</v>
      </c>
      <c r="B25" s="228" t="s">
        <v>353</v>
      </c>
    </row>
    <row r="26" spans="1:2" x14ac:dyDescent="0.2">
      <c r="A26" s="227" t="s">
        <v>354</v>
      </c>
      <c r="B26" s="228" t="s">
        <v>355</v>
      </c>
    </row>
    <row r="27" spans="1:2" x14ac:dyDescent="0.2">
      <c r="A27" s="227" t="s">
        <v>356</v>
      </c>
      <c r="B27" s="228" t="s">
        <v>357</v>
      </c>
    </row>
    <row r="28" spans="1:2" x14ac:dyDescent="0.2">
      <c r="A28" s="227" t="s">
        <v>358</v>
      </c>
      <c r="B28" s="228" t="s">
        <v>359</v>
      </c>
    </row>
    <row r="29" spans="1:2" x14ac:dyDescent="0.2">
      <c r="A29" s="227" t="s">
        <v>360</v>
      </c>
      <c r="B29" s="228" t="s">
        <v>361</v>
      </c>
    </row>
    <row r="30" spans="1:2" x14ac:dyDescent="0.2">
      <c r="A30" s="227" t="s">
        <v>362</v>
      </c>
      <c r="B30" s="228" t="s">
        <v>363</v>
      </c>
    </row>
    <row r="31" spans="1:2" x14ac:dyDescent="0.2">
      <c r="A31" s="227" t="s">
        <v>223</v>
      </c>
      <c r="B31" s="228" t="s">
        <v>224</v>
      </c>
    </row>
    <row r="32" spans="1:2" x14ac:dyDescent="0.2">
      <c r="A32" s="227" t="s">
        <v>364</v>
      </c>
      <c r="B32" s="228" t="s">
        <v>365</v>
      </c>
    </row>
    <row r="33" spans="1:2" x14ac:dyDescent="0.2">
      <c r="A33" s="227" t="s">
        <v>265</v>
      </c>
      <c r="B33" s="228" t="s">
        <v>366</v>
      </c>
    </row>
    <row r="34" spans="1:2" x14ac:dyDescent="0.2">
      <c r="A34" s="227" t="s">
        <v>367</v>
      </c>
      <c r="B34" s="228" t="s">
        <v>368</v>
      </c>
    </row>
  </sheetData>
  <sheetProtection password="83AF" sheet="1" objects="1" scenarios="1"/>
  <printOptions horizontalCentered="1"/>
  <pageMargins left="0.5" right="0.5" top="1" bottom="1.25" header="0.5" footer="0.5"/>
  <pageSetup orientation="landscape" horizontalDpi="1200" r:id="rId1"/>
  <headerFooter scaleWithDoc="0" alignWithMargins="0">
    <oddHeader>&amp;L&amp;"Trebuchet MS,Regular"&amp;12Advanced Mass Control Chart&amp;R&amp;"Trebuchet MS,Regular"&amp;12WAQCF-021, Rev. 01, 10/9/2015</oddHeader>
    <oddFooter>&amp;L&amp;"Trebuchet MS,Regular"&amp;12&amp;F&amp;R&amp;"Trebuchet MS,Regular"&amp;12&amp;A Worksheet Page &amp;P of &amp;N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E43"/>
  <sheetViews>
    <sheetView showGridLines="0" workbookViewId="0">
      <pane ySplit="12" topLeftCell="A13" activePane="bottomLeft" state="frozenSplit"/>
      <selection pane="bottomLeft" activeCell="C1" sqref="C1:D1"/>
    </sheetView>
  </sheetViews>
  <sheetFormatPr defaultRowHeight="16.5" x14ac:dyDescent="0.3"/>
  <cols>
    <col min="1" max="3" width="15.7109375" style="1" customWidth="1"/>
    <col min="4" max="6" width="15.7109375" style="4" customWidth="1"/>
    <col min="7" max="8" width="15.7109375" style="1" customWidth="1"/>
    <col min="9" max="10" width="8.7109375" style="1" customWidth="1"/>
    <col min="11" max="16384" width="9.140625" style="1"/>
  </cols>
  <sheetData>
    <row r="1" spans="1:31" ht="20.25" thickTop="1" x14ac:dyDescent="0.3">
      <c r="A1" s="244" t="s">
        <v>24</v>
      </c>
      <c r="B1" s="244"/>
      <c r="C1" s="245"/>
      <c r="D1" s="245"/>
      <c r="E1" s="167"/>
      <c r="F1" s="247" t="s">
        <v>36</v>
      </c>
      <c r="G1" s="247"/>
      <c r="H1" s="6" t="e">
        <f>VLOOKUP('Data Entry'!J1,PooledSwTable,2)</f>
        <v>#N/A</v>
      </c>
      <c r="I1" s="168" t="s">
        <v>37</v>
      </c>
      <c r="J1" s="6">
        <f>MAX('LAP Data Entry'!U:U)</f>
        <v>0</v>
      </c>
      <c r="L1" s="124" t="s">
        <v>228</v>
      </c>
      <c r="M1" s="124"/>
      <c r="N1" s="137"/>
      <c r="O1" s="137"/>
      <c r="P1" s="137"/>
      <c r="Q1" s="137"/>
      <c r="R1" s="137"/>
      <c r="S1" s="137"/>
      <c r="T1" s="137"/>
      <c r="U1" s="137"/>
      <c r="V1" s="137"/>
      <c r="W1" s="137"/>
      <c r="X1" s="137"/>
      <c r="Y1" s="137"/>
      <c r="Z1" s="137"/>
      <c r="AA1" s="137"/>
      <c r="AB1" s="137"/>
      <c r="AC1" s="137"/>
      <c r="AD1" s="137"/>
      <c r="AE1" s="138"/>
    </row>
    <row r="2" spans="1:31" ht="19.5" x14ac:dyDescent="0.3">
      <c r="A2" s="244" t="s">
        <v>25</v>
      </c>
      <c r="B2" s="244"/>
      <c r="C2" s="245"/>
      <c r="D2" s="245"/>
      <c r="E2" s="167"/>
      <c r="F2" s="247" t="s">
        <v>34</v>
      </c>
      <c r="G2" s="247"/>
      <c r="H2" s="6" t="e">
        <f>STDEV('LAP Data Entry'!F:F)</f>
        <v>#DIV/0!</v>
      </c>
      <c r="I2" s="168" t="s">
        <v>37</v>
      </c>
      <c r="J2" s="6">
        <f>COUNT('LAP Data Entry'!Q:Q)-1</f>
        <v>-1</v>
      </c>
      <c r="L2" s="125" t="e">
        <f>CONCATENATE(C1," ● ",C9," ● X-Chart (SOP 9)","
 ",C3," (",ChkID,") Check Standard","
 ","Balance: ",C7," ● ","Measurement Procedure: ",C8,"
","Check Standard Deviation = ",FIXED(H2,6)," ",C10," ● ",O10," Class ",J9," MPE = ± ",G10," ",C10)</f>
        <v>#DIV/0!</v>
      </c>
      <c r="AE2" s="139"/>
    </row>
    <row r="3" spans="1:31" x14ac:dyDescent="0.3">
      <c r="A3" s="244" t="s">
        <v>26</v>
      </c>
      <c r="B3" s="244"/>
      <c r="C3" s="245"/>
      <c r="D3" s="245"/>
      <c r="E3" s="167"/>
      <c r="F3" s="247" t="s">
        <v>35</v>
      </c>
      <c r="G3" s="247"/>
      <c r="H3" s="6" t="e">
        <f>AVERAGE('LAP Data Entry'!F:F)</f>
        <v>#DIV/0!</v>
      </c>
      <c r="I3" s="168" t="s">
        <v>0</v>
      </c>
      <c r="J3" s="6">
        <f>COUNT('LAP Data Entry'!Q:Q)</f>
        <v>0</v>
      </c>
      <c r="L3" s="125" t="e">
        <f>CONCATENATE(C1," ● ",C9," ● ","With-in Time Standard Deviation Chart","
 ",C3," (",ChkID,") Check Standard","
 ","Balance: ",C7," ● ","Measurement Procedure: ",C8,"
","Pooled With-in Time Standard Deviation = ",FIXED(H1,6)," ",C10)</f>
        <v>#N/A</v>
      </c>
      <c r="AE3" s="139"/>
    </row>
    <row r="4" spans="1:31" x14ac:dyDescent="0.3">
      <c r="A4" s="244" t="s">
        <v>39</v>
      </c>
      <c r="B4" s="244"/>
      <c r="C4" s="245"/>
      <c r="D4" s="245"/>
      <c r="E4" s="167"/>
      <c r="F4" s="169"/>
      <c r="G4" s="169"/>
      <c r="H4" s="170"/>
      <c r="I4" s="171"/>
      <c r="J4" s="170"/>
      <c r="K4" s="248" t="str">
        <f>IF(OR(Spec="OIML R 111",Spec="NIST HB 105-8"),"",IF(OR(ISERROR(I3),I3="---"),"&gt;&gt;&gt;&gt;&gt;
Input x1 and x2 values on MPE Finder",""))</f>
        <v/>
      </c>
      <c r="L4" s="125" t="str">
        <f>CONCATENATE(C1," ● ",C9," ● ","F Ratio Chart","
 ",C3," (",ChkID,") Check Standard","
 ","Balance: ",C7," ● ","Measurement Procedure: ",C8)</f>
        <v xml:space="preserve"> ●  ● F Ratio Chart
  () Check Standard
 Balance:  ● Measurement Procedure: SOP 28</v>
      </c>
      <c r="AE4" s="139"/>
    </row>
    <row r="5" spans="1:31" x14ac:dyDescent="0.3">
      <c r="A5" s="244" t="s">
        <v>40</v>
      </c>
      <c r="B5" s="244"/>
      <c r="C5" s="245"/>
      <c r="D5" s="245"/>
      <c r="E5" s="167"/>
      <c r="F5" s="170"/>
      <c r="G5" s="170"/>
      <c r="H5" s="170"/>
      <c r="I5" s="171"/>
      <c r="J5" s="170"/>
      <c r="K5" s="248"/>
      <c r="L5" s="125" t="str">
        <f>CONCATENATE(C1," ● ",C9," ● ","T Value Chart","
 ",C3," (",ChkID,") Check Standard","
 ","Balance: ",C7," ● ","Measurement Procedure: ",C8)</f>
        <v xml:space="preserve"> ●  ● T Value Chart
  () Check Standard
 Balance:  ● Measurement Procedure: SOP 28</v>
      </c>
      <c r="AE5" s="139"/>
    </row>
    <row r="6" spans="1:31" x14ac:dyDescent="0.3">
      <c r="A6" s="244" t="s">
        <v>27</v>
      </c>
      <c r="B6" s="244"/>
      <c r="C6" s="245"/>
      <c r="D6" s="245"/>
      <c r="E6" s="167"/>
      <c r="F6" s="169"/>
      <c r="G6" s="169"/>
      <c r="H6" s="170"/>
      <c r="I6" s="171"/>
      <c r="J6" s="170"/>
      <c r="K6" s="248"/>
      <c r="L6" s="125" t="str">
        <f>CONCATENATE(C1," ● ",C9," ● ","Check Standard vs Humidity Chart","
 ",C3," (",ChkID,") Check Standard","
 ","Balance: ",C7," ● ","Measurement Procedure: ",C8)</f>
        <v xml:space="preserve"> ●  ● Check Standard vs Humidity Chart
  () Check Standard
 Balance:  ● Measurement Procedure: SOP 28</v>
      </c>
      <c r="AE6" s="139"/>
    </row>
    <row r="7" spans="1:31" x14ac:dyDescent="0.3">
      <c r="A7" s="244" t="s">
        <v>28</v>
      </c>
      <c r="B7" s="244"/>
      <c r="C7" s="245"/>
      <c r="D7" s="245"/>
      <c r="E7" s="249" t="str">
        <f>IF(OR(Spec="OIML R 111",Spec="NIST HB 105-8"),"",IF(OR(ISERROR(G10),G10="---"),"Input x1 and x2 values on MPE Finder
&gt;&gt;&gt;&gt;&gt;&gt;&gt;",""))</f>
        <v/>
      </c>
      <c r="F7" s="169"/>
      <c r="G7" s="169"/>
      <c r="H7" s="172"/>
      <c r="I7" s="171"/>
      <c r="J7" s="170"/>
      <c r="K7" s="248"/>
      <c r="L7" s="125" t="str">
        <f>CONCATENATE(C1," ● ",C9," ● ","Check Standard vs Pressure Chart","
 ",C3," (",ChkID,") Check Standard","
 ","Balance: ",C7," ● ","Measurement Procedure: ",C8)</f>
        <v xml:space="preserve"> ●  ● Check Standard vs Pressure Chart
  () Check Standard
 Balance:  ● Measurement Procedure: SOP 28</v>
      </c>
      <c r="AE7" s="139"/>
    </row>
    <row r="8" spans="1:31" ht="16.350000000000001" customHeight="1" x14ac:dyDescent="0.3">
      <c r="A8" s="244" t="s">
        <v>29</v>
      </c>
      <c r="B8" s="244"/>
      <c r="C8" s="246" t="s">
        <v>33</v>
      </c>
      <c r="D8" s="246"/>
      <c r="E8" s="249"/>
      <c r="F8" s="176" t="s">
        <v>258</v>
      </c>
      <c r="G8" s="178"/>
      <c r="H8" s="244" t="s">
        <v>327</v>
      </c>
      <c r="I8" s="244"/>
      <c r="J8" s="175"/>
      <c r="K8" s="248"/>
      <c r="L8" s="125" t="str">
        <f>CONCATENATE(C1," ● ",C9," ● ","Check Standard vs Temperature Chart","
 ",C3," (",ChkID,") Check Standard","
 ","Balance: ",C7," ● ","Measurement Procedure: ",C8)</f>
        <v xml:space="preserve"> ●  ● Check Standard vs Temperature Chart
  () Check Standard
 Balance:  ● Measurement Procedure: SOP 28</v>
      </c>
      <c r="AE8" s="139"/>
    </row>
    <row r="9" spans="1:31" x14ac:dyDescent="0.3">
      <c r="A9" s="244" t="s">
        <v>30</v>
      </c>
      <c r="B9" s="244"/>
      <c r="C9" s="245"/>
      <c r="D9" s="245"/>
      <c r="E9" s="249"/>
      <c r="F9" s="174" t="s">
        <v>254</v>
      </c>
      <c r="G9" s="245"/>
      <c r="H9" s="245"/>
      <c r="I9" s="174" t="s">
        <v>255</v>
      </c>
      <c r="J9" s="229"/>
      <c r="K9" s="248"/>
      <c r="L9" s="125" t="str">
        <f>IF(C10="g","grams","milligrams")</f>
        <v>milligrams</v>
      </c>
      <c r="M9" s="164" t="s">
        <v>230</v>
      </c>
      <c r="N9" s="164" t="s">
        <v>231</v>
      </c>
      <c r="O9" s="151"/>
      <c r="P9" s="151"/>
      <c r="Q9" s="151"/>
      <c r="R9" s="151"/>
      <c r="S9" s="151"/>
      <c r="T9" s="151"/>
      <c r="U9" s="151"/>
      <c r="V9" s="151"/>
      <c r="W9" s="151"/>
      <c r="X9" s="151"/>
      <c r="Y9" s="151"/>
      <c r="Z9" s="151"/>
      <c r="AA9" s="151"/>
      <c r="AB9" s="151"/>
      <c r="AC9" s="151"/>
      <c r="AD9" s="151"/>
      <c r="AE9" s="139"/>
    </row>
    <row r="10" spans="1:31" ht="17.25" thickBot="1" x14ac:dyDescent="0.35">
      <c r="A10" s="244" t="s">
        <v>31</v>
      </c>
      <c r="B10" s="244"/>
      <c r="C10" s="246" t="s">
        <v>32</v>
      </c>
      <c r="D10" s="246"/>
      <c r="E10" s="249"/>
      <c r="F10" s="176" t="s">
        <v>326</v>
      </c>
      <c r="G10" s="5" t="str">
        <f>IF(G8="","",IF('MPE Finder'!C7="---",'MPE Finder'!C19,'MPE Finder'!C7))</f>
        <v/>
      </c>
      <c r="H10" s="176" t="s">
        <v>325</v>
      </c>
      <c r="I10" s="241"/>
      <c r="J10" s="241"/>
      <c r="L10" s="165" t="str">
        <f>"Check Mean ± "&amp;100*I10&amp;" % MPE"</f>
        <v>Check Mean ± 0 % MPE</v>
      </c>
      <c r="M10" s="153"/>
      <c r="N10" s="153"/>
      <c r="O10" s="177">
        <f>IF(Spec="NIST HB 105-1 F","NIST HB 105-1",Spec)</f>
        <v>0</v>
      </c>
      <c r="P10" s="153"/>
      <c r="Q10" s="153"/>
      <c r="R10" s="153"/>
      <c r="S10" s="153"/>
      <c r="T10" s="153"/>
      <c r="U10" s="153"/>
      <c r="V10" s="153"/>
      <c r="W10" s="153"/>
      <c r="X10" s="153"/>
      <c r="Y10" s="153"/>
      <c r="Z10" s="153"/>
      <c r="AA10" s="153"/>
      <c r="AB10" s="153"/>
      <c r="AC10" s="153"/>
      <c r="AD10" s="153"/>
      <c r="AE10" s="154"/>
    </row>
    <row r="11" spans="1:31" ht="12.2" customHeight="1" thickTop="1" x14ac:dyDescent="0.3">
      <c r="A11" s="243"/>
      <c r="B11" s="243"/>
      <c r="C11" s="243"/>
      <c r="D11" s="243"/>
      <c r="E11" s="243"/>
      <c r="F11" s="243"/>
      <c r="G11" s="243"/>
      <c r="H11" s="243"/>
      <c r="I11" s="243"/>
      <c r="J11" s="243"/>
      <c r="L11" s="166"/>
      <c r="M11" s="166"/>
      <c r="N11" s="166"/>
      <c r="O11" s="166"/>
      <c r="P11" s="166"/>
      <c r="Q11" s="166"/>
      <c r="R11" s="166"/>
      <c r="S11" s="166"/>
      <c r="T11" s="166"/>
      <c r="U11" s="166"/>
      <c r="V11" s="166"/>
      <c r="W11" s="166"/>
      <c r="X11" s="166"/>
      <c r="Y11" s="166"/>
      <c r="Z11" s="166"/>
      <c r="AA11" s="166"/>
      <c r="AB11" s="166"/>
      <c r="AC11" s="166"/>
      <c r="AD11" s="166"/>
      <c r="AE11" s="166"/>
    </row>
    <row r="12" spans="1:31" s="3" customFormat="1" ht="33" x14ac:dyDescent="0.2">
      <c r="A12" s="10" t="s">
        <v>17</v>
      </c>
      <c r="B12" s="10" t="s">
        <v>257</v>
      </c>
      <c r="C12" s="10" t="s">
        <v>41</v>
      </c>
      <c r="D12" s="10" t="s">
        <v>42</v>
      </c>
      <c r="E12" s="10" t="s">
        <v>43</v>
      </c>
      <c r="F12" s="10" t="s">
        <v>44</v>
      </c>
      <c r="G12" s="10" t="s">
        <v>45</v>
      </c>
      <c r="H12" s="144" t="s">
        <v>155</v>
      </c>
      <c r="I12" s="242" t="s">
        <v>256</v>
      </c>
      <c r="J12" s="242"/>
      <c r="L12" s="152"/>
      <c r="M12" s="152"/>
      <c r="N12" s="152"/>
      <c r="O12" s="152"/>
      <c r="P12" s="152"/>
      <c r="Q12" s="152"/>
      <c r="R12" s="152"/>
      <c r="S12" s="152"/>
      <c r="T12" s="152"/>
      <c r="U12" s="152"/>
      <c r="V12" s="152"/>
      <c r="W12" s="152"/>
      <c r="X12" s="152"/>
      <c r="Y12" s="152"/>
      <c r="Z12" s="152"/>
      <c r="AA12" s="152"/>
      <c r="AB12" s="152"/>
      <c r="AC12" s="152"/>
      <c r="AD12" s="152"/>
      <c r="AE12" s="152"/>
    </row>
    <row r="13" spans="1:31" x14ac:dyDescent="0.3">
      <c r="A13" s="7" t="s">
        <v>18</v>
      </c>
      <c r="B13" s="148"/>
      <c r="C13" s="143" t="e">
        <f>IF((($H$2^2)-(D13^2*$H$1^2))&lt;0,0,(1/E13)*SQRT(($H$2^2)-(D13^2*$H$1^2)))</f>
        <v>#DIV/0!</v>
      </c>
      <c r="D13" s="143">
        <v>0.81649658092772603</v>
      </c>
      <c r="E13" s="143">
        <v>1.4142135623730954</v>
      </c>
      <c r="F13" s="9" t="s">
        <v>47</v>
      </c>
      <c r="G13" s="8" t="s">
        <v>48</v>
      </c>
      <c r="H13" s="11" t="s">
        <v>156</v>
      </c>
      <c r="I13" s="240" t="str">
        <f>IF(B13="","---",B13/($G$10/3))</f>
        <v>---</v>
      </c>
      <c r="J13" s="240"/>
      <c r="K13" s="151"/>
      <c r="L13" s="151"/>
      <c r="M13" s="151"/>
      <c r="N13" s="151"/>
      <c r="O13" s="151"/>
      <c r="P13" s="151"/>
      <c r="Q13" s="151"/>
      <c r="R13" s="151"/>
      <c r="S13" s="151"/>
      <c r="T13" s="151"/>
      <c r="U13" s="151"/>
      <c r="V13" s="151"/>
      <c r="W13" s="151"/>
      <c r="X13" s="151"/>
      <c r="Y13" s="151"/>
      <c r="Z13" s="151"/>
      <c r="AA13" s="151"/>
      <c r="AB13" s="151"/>
      <c r="AC13" s="151"/>
      <c r="AD13" s="151"/>
      <c r="AE13" s="151"/>
    </row>
    <row r="14" spans="1:31" x14ac:dyDescent="0.3">
      <c r="A14" s="7" t="s">
        <v>157</v>
      </c>
      <c r="B14" s="148"/>
      <c r="C14" s="143" t="e">
        <f t="shared" ref="C14:C42" si="0">IF((($H$2^2)-(D14^2*$H$1^2))&lt;0,0,(1/E14)*SQRT(($H$2^2)-(D14^2*$H$1^2)))</f>
        <v>#DIV/0!</v>
      </c>
      <c r="D14" s="143">
        <v>0.70710678118654724</v>
      </c>
      <c r="E14" s="143">
        <v>1.4142135623730945</v>
      </c>
      <c r="F14" s="9" t="s">
        <v>178</v>
      </c>
      <c r="G14" s="9" t="s">
        <v>186</v>
      </c>
      <c r="H14" s="11" t="s">
        <v>156</v>
      </c>
      <c r="I14" s="240" t="str">
        <f t="shared" ref="I14:I42" si="1">IF(B14="","---",B14/($G$10/3))</f>
        <v>---</v>
      </c>
      <c r="J14" s="240"/>
    </row>
    <row r="15" spans="1:31" x14ac:dyDescent="0.3">
      <c r="A15" s="7" t="s">
        <v>158</v>
      </c>
      <c r="B15" s="148"/>
      <c r="C15" s="143" t="e">
        <f t="shared" si="0"/>
        <v>#DIV/0!</v>
      </c>
      <c r="D15" s="143">
        <v>0.63245553203367555</v>
      </c>
      <c r="E15" s="143">
        <v>1.4142135623730943</v>
      </c>
      <c r="F15" s="9" t="s">
        <v>179</v>
      </c>
      <c r="G15" s="9" t="s">
        <v>187</v>
      </c>
      <c r="H15" s="11" t="s">
        <v>156</v>
      </c>
      <c r="I15" s="240" t="str">
        <f t="shared" si="1"/>
        <v>---</v>
      </c>
      <c r="J15" s="240"/>
    </row>
    <row r="16" spans="1:31" x14ac:dyDescent="0.3">
      <c r="A16" s="7" t="s">
        <v>158</v>
      </c>
      <c r="B16" s="148"/>
      <c r="C16" s="143" t="e">
        <f t="shared" si="0"/>
        <v>#DIV/0!</v>
      </c>
      <c r="D16" s="143">
        <v>0.54772255750516585</v>
      </c>
      <c r="E16" s="143">
        <v>1.2247448713915883</v>
      </c>
      <c r="F16" s="9" t="s">
        <v>179</v>
      </c>
      <c r="G16" s="9" t="s">
        <v>181</v>
      </c>
      <c r="H16" s="11" t="s">
        <v>156</v>
      </c>
      <c r="I16" s="240" t="str">
        <f t="shared" si="1"/>
        <v>---</v>
      </c>
      <c r="J16" s="240"/>
    </row>
    <row r="17" spans="1:10" x14ac:dyDescent="0.3">
      <c r="A17" s="7" t="s">
        <v>159</v>
      </c>
      <c r="B17" s="148"/>
      <c r="C17" s="143" t="e">
        <f t="shared" si="0"/>
        <v>#DIV/0!</v>
      </c>
      <c r="D17" s="143">
        <v>0.70710678118654768</v>
      </c>
      <c r="E17" s="143">
        <v>1.4142135623730954</v>
      </c>
      <c r="F17" s="9" t="s">
        <v>180</v>
      </c>
      <c r="G17" s="9" t="s">
        <v>188</v>
      </c>
      <c r="H17" s="11" t="s">
        <v>156</v>
      </c>
      <c r="I17" s="240" t="str">
        <f t="shared" si="1"/>
        <v>---</v>
      </c>
      <c r="J17" s="240"/>
    </row>
    <row r="18" spans="1:10" x14ac:dyDescent="0.3">
      <c r="A18" s="7" t="s">
        <v>160</v>
      </c>
      <c r="B18" s="148"/>
      <c r="C18" s="143" t="e">
        <f t="shared" si="0"/>
        <v>#DIV/0!</v>
      </c>
      <c r="D18" s="143">
        <v>0.70710678118654746</v>
      </c>
      <c r="E18" s="143">
        <v>1.4142135623730947</v>
      </c>
      <c r="F18" s="9" t="s">
        <v>182</v>
      </c>
      <c r="G18" s="8" t="s">
        <v>185</v>
      </c>
      <c r="H18" s="11" t="s">
        <v>156</v>
      </c>
      <c r="I18" s="240" t="str">
        <f t="shared" si="1"/>
        <v>---</v>
      </c>
      <c r="J18" s="240"/>
    </row>
    <row r="19" spans="1:10" x14ac:dyDescent="0.3">
      <c r="A19" s="7" t="s">
        <v>161</v>
      </c>
      <c r="B19" s="148"/>
      <c r="C19" s="143" t="e">
        <f t="shared" si="0"/>
        <v>#DIV/0!</v>
      </c>
      <c r="D19" s="143">
        <v>0.57735026918962573</v>
      </c>
      <c r="E19" s="143">
        <v>1.4142135623730951</v>
      </c>
      <c r="F19" s="9" t="s">
        <v>183</v>
      </c>
      <c r="G19" s="8" t="s">
        <v>184</v>
      </c>
      <c r="H19" s="11" t="s">
        <v>156</v>
      </c>
      <c r="I19" s="240" t="str">
        <f t="shared" si="1"/>
        <v>---</v>
      </c>
      <c r="J19" s="240"/>
    </row>
    <row r="20" spans="1:10" x14ac:dyDescent="0.3">
      <c r="A20" s="7" t="s">
        <v>162</v>
      </c>
      <c r="B20" s="148"/>
      <c r="C20" s="143" t="e">
        <f t="shared" si="0"/>
        <v>#DIV/0!</v>
      </c>
      <c r="D20" s="143">
        <v>0.43817804600413346</v>
      </c>
      <c r="E20" s="143">
        <v>1.0583005244258374</v>
      </c>
      <c r="F20" s="9" t="s">
        <v>189</v>
      </c>
      <c r="G20" s="8" t="s">
        <v>190</v>
      </c>
      <c r="H20" s="11" t="s">
        <v>156</v>
      </c>
      <c r="I20" s="240" t="str">
        <f t="shared" si="1"/>
        <v>---</v>
      </c>
      <c r="J20" s="240"/>
    </row>
    <row r="21" spans="1:10" x14ac:dyDescent="0.3">
      <c r="A21" s="7" t="s">
        <v>163</v>
      </c>
      <c r="B21" s="148"/>
      <c r="C21" s="143" t="e">
        <f t="shared" si="0"/>
        <v>#DIV/0!</v>
      </c>
      <c r="D21" s="143">
        <v>0.50689687752485169</v>
      </c>
      <c r="E21" s="143">
        <v>1.0606601717798212</v>
      </c>
      <c r="F21" s="9" t="s">
        <v>191</v>
      </c>
      <c r="G21" s="8" t="s">
        <v>192</v>
      </c>
      <c r="H21" s="11" t="s">
        <v>156</v>
      </c>
      <c r="I21" s="240" t="str">
        <f t="shared" si="1"/>
        <v>---</v>
      </c>
      <c r="J21" s="240"/>
    </row>
    <row r="22" spans="1:10" x14ac:dyDescent="0.3">
      <c r="A22" s="7" t="s">
        <v>164</v>
      </c>
      <c r="B22" s="148"/>
      <c r="C22" s="143" t="e">
        <f t="shared" si="0"/>
        <v>#DIV/0!</v>
      </c>
      <c r="D22" s="143">
        <v>0.417475405605785</v>
      </c>
      <c r="E22" s="143">
        <v>1.0148891565092231</v>
      </c>
      <c r="F22" s="9" t="s">
        <v>194</v>
      </c>
      <c r="G22" s="8" t="s">
        <v>195</v>
      </c>
      <c r="H22" s="11" t="s">
        <v>156</v>
      </c>
      <c r="I22" s="240" t="str">
        <f t="shared" si="1"/>
        <v>---</v>
      </c>
      <c r="J22" s="240"/>
    </row>
    <row r="23" spans="1:10" x14ac:dyDescent="0.3">
      <c r="A23" s="7" t="s">
        <v>241</v>
      </c>
      <c r="B23" s="148"/>
      <c r="C23" s="143" t="e">
        <f t="shared" si="0"/>
        <v>#DIV/0!</v>
      </c>
      <c r="D23" s="143">
        <v>0.53452248382484902</v>
      </c>
      <c r="E23" s="143">
        <v>1.4142135623730956</v>
      </c>
      <c r="F23" s="9" t="s">
        <v>242</v>
      </c>
      <c r="G23" s="8" t="s">
        <v>243</v>
      </c>
      <c r="H23" s="11" t="s">
        <v>156</v>
      </c>
      <c r="I23" s="240" t="str">
        <f t="shared" si="1"/>
        <v>---</v>
      </c>
      <c r="J23" s="240"/>
    </row>
    <row r="24" spans="1:10" x14ac:dyDescent="0.3">
      <c r="A24" s="7" t="s">
        <v>165</v>
      </c>
      <c r="B24" s="148"/>
      <c r="C24" s="143" t="e">
        <f t="shared" si="0"/>
        <v>#DIV/0!</v>
      </c>
      <c r="D24" s="143">
        <v>0.35508725198426838</v>
      </c>
      <c r="E24" s="143">
        <v>1.0148891565092228</v>
      </c>
      <c r="F24" s="9" t="s">
        <v>193</v>
      </c>
      <c r="G24" s="8" t="s">
        <v>196</v>
      </c>
      <c r="H24" s="11" t="s">
        <v>156</v>
      </c>
      <c r="I24" s="240" t="str">
        <f t="shared" si="1"/>
        <v>---</v>
      </c>
      <c r="J24" s="240"/>
    </row>
    <row r="25" spans="1:10" x14ac:dyDescent="0.3">
      <c r="A25" s="7" t="s">
        <v>168</v>
      </c>
      <c r="B25" s="148"/>
      <c r="C25" s="143" t="e">
        <f t="shared" si="0"/>
        <v>#DIV/0!</v>
      </c>
      <c r="D25" s="143">
        <v>0.5</v>
      </c>
      <c r="E25" s="143">
        <v>1.4142135623730954</v>
      </c>
      <c r="F25" s="9" t="s">
        <v>197</v>
      </c>
      <c r="G25" s="8" t="s">
        <v>196</v>
      </c>
      <c r="H25" s="11" t="s">
        <v>156</v>
      </c>
      <c r="I25" s="240" t="str">
        <f t="shared" si="1"/>
        <v>---</v>
      </c>
      <c r="J25" s="240"/>
    </row>
    <row r="26" spans="1:10" x14ac:dyDescent="0.3">
      <c r="A26" s="7" t="s">
        <v>166</v>
      </c>
      <c r="B26" s="148"/>
      <c r="C26" s="143" t="e">
        <f t="shared" si="0"/>
        <v>#DIV/0!</v>
      </c>
      <c r="D26" s="143">
        <v>0.41403933560541223</v>
      </c>
      <c r="E26" s="143">
        <v>1.0198039027185561</v>
      </c>
      <c r="F26" s="9" t="s">
        <v>198</v>
      </c>
      <c r="G26" s="8" t="s">
        <v>199</v>
      </c>
      <c r="H26" s="11" t="s">
        <v>156</v>
      </c>
      <c r="I26" s="240" t="str">
        <f>IF(B26="","---",B26/($G$10/3))</f>
        <v>---</v>
      </c>
      <c r="J26" s="240"/>
    </row>
    <row r="27" spans="1:10" x14ac:dyDescent="0.3">
      <c r="A27" s="7" t="s">
        <v>169</v>
      </c>
      <c r="B27" s="148"/>
      <c r="C27" s="143" t="e">
        <f t="shared" si="0"/>
        <v>#DIV/0!</v>
      </c>
      <c r="D27" s="143">
        <v>0.5345224838248489</v>
      </c>
      <c r="E27" s="143">
        <v>1.4142135623730954</v>
      </c>
      <c r="F27" s="9" t="s">
        <v>216</v>
      </c>
      <c r="G27" s="8" t="s">
        <v>200</v>
      </c>
      <c r="H27" s="11" t="s">
        <v>156</v>
      </c>
      <c r="I27" s="240" t="str">
        <f t="shared" si="1"/>
        <v>---</v>
      </c>
      <c r="J27" s="240"/>
    </row>
    <row r="28" spans="1:10" x14ac:dyDescent="0.3">
      <c r="A28" s="7" t="s">
        <v>167</v>
      </c>
      <c r="B28" s="148"/>
      <c r="C28" s="143" t="e">
        <f t="shared" si="0"/>
        <v>#DIV/0!</v>
      </c>
      <c r="D28" s="143">
        <v>0.46445052020025268</v>
      </c>
      <c r="E28" s="143">
        <v>1.0198039027185561</v>
      </c>
      <c r="F28" s="9" t="s">
        <v>201</v>
      </c>
      <c r="G28" s="8" t="s">
        <v>202</v>
      </c>
      <c r="H28" s="11" t="s">
        <v>156</v>
      </c>
      <c r="I28" s="240" t="str">
        <f t="shared" si="1"/>
        <v>---</v>
      </c>
      <c r="J28" s="240"/>
    </row>
    <row r="29" spans="1:10" x14ac:dyDescent="0.3">
      <c r="A29" s="7" t="s">
        <v>246</v>
      </c>
      <c r="B29" s="148"/>
      <c r="C29" s="143" t="e">
        <f t="shared" si="0"/>
        <v>#DIV/0!</v>
      </c>
      <c r="D29" s="143">
        <v>0.5345224838248489</v>
      </c>
      <c r="E29" s="143">
        <v>1.4142135623730954</v>
      </c>
      <c r="F29" s="9" t="s">
        <v>247</v>
      </c>
      <c r="G29" s="8" t="s">
        <v>248</v>
      </c>
      <c r="H29" s="11" t="s">
        <v>156</v>
      </c>
      <c r="I29" s="240" t="str">
        <f t="shared" si="1"/>
        <v>---</v>
      </c>
      <c r="J29" s="240"/>
    </row>
    <row r="30" spans="1:10" x14ac:dyDescent="0.3">
      <c r="A30" s="7" t="s">
        <v>170</v>
      </c>
      <c r="B30" s="148"/>
      <c r="C30" s="143" t="e">
        <f t="shared" si="0"/>
        <v>#DIV/0!</v>
      </c>
      <c r="D30" s="143">
        <v>0.5</v>
      </c>
      <c r="E30" s="143">
        <v>1.4142135623730956</v>
      </c>
      <c r="F30" s="9" t="s">
        <v>206</v>
      </c>
      <c r="G30" s="8" t="s">
        <v>207</v>
      </c>
      <c r="H30" s="11" t="s">
        <v>156</v>
      </c>
      <c r="I30" s="240" t="str">
        <f t="shared" si="1"/>
        <v>---</v>
      </c>
      <c r="J30" s="240"/>
    </row>
    <row r="31" spans="1:10" x14ac:dyDescent="0.3">
      <c r="A31" s="7" t="s">
        <v>170</v>
      </c>
      <c r="B31" s="148"/>
      <c r="C31" s="143" t="e">
        <f t="shared" si="0"/>
        <v>#DIV/0!</v>
      </c>
      <c r="D31" s="143">
        <v>0.5</v>
      </c>
      <c r="E31" s="143">
        <v>1.4142135623730956</v>
      </c>
      <c r="F31" s="9" t="s">
        <v>244</v>
      </c>
      <c r="G31" s="8" t="s">
        <v>245</v>
      </c>
      <c r="H31" s="11" t="s">
        <v>156</v>
      </c>
      <c r="I31" s="240" t="str">
        <f t="shared" si="1"/>
        <v>---</v>
      </c>
      <c r="J31" s="240"/>
    </row>
    <row r="32" spans="1:10" x14ac:dyDescent="0.3">
      <c r="A32" s="7" t="s">
        <v>171</v>
      </c>
      <c r="B32" s="148"/>
      <c r="C32" s="143" t="e">
        <f t="shared" si="0"/>
        <v>#DIV/0!</v>
      </c>
      <c r="D32" s="143">
        <v>0.47745526055942233</v>
      </c>
      <c r="E32" s="143">
        <v>1.0007803608855408</v>
      </c>
      <c r="F32" s="9" t="s">
        <v>208</v>
      </c>
      <c r="G32" s="8" t="s">
        <v>209</v>
      </c>
      <c r="H32" s="11" t="s">
        <v>156</v>
      </c>
      <c r="I32" s="240" t="str">
        <f t="shared" si="1"/>
        <v>---</v>
      </c>
      <c r="J32" s="240"/>
    </row>
    <row r="33" spans="1:10" x14ac:dyDescent="0.3">
      <c r="A33" s="7" t="s">
        <v>175</v>
      </c>
      <c r="B33" s="148"/>
      <c r="C33" s="143" t="e">
        <f t="shared" si="0"/>
        <v>#DIV/0!</v>
      </c>
      <c r="D33" s="143">
        <v>1.0954451150103321</v>
      </c>
      <c r="E33" s="143">
        <v>1.523154621172782</v>
      </c>
      <c r="F33" s="9" t="s">
        <v>210</v>
      </c>
      <c r="G33" s="8" t="s">
        <v>211</v>
      </c>
      <c r="H33" s="11" t="s">
        <v>156</v>
      </c>
      <c r="I33" s="240" t="str">
        <f t="shared" si="1"/>
        <v>---</v>
      </c>
      <c r="J33" s="240"/>
    </row>
    <row r="34" spans="1:10" x14ac:dyDescent="0.3">
      <c r="A34" s="7" t="s">
        <v>174</v>
      </c>
      <c r="B34" s="148"/>
      <c r="C34" s="143" t="e">
        <f t="shared" si="0"/>
        <v>#DIV/0!</v>
      </c>
      <c r="D34" s="143">
        <v>0.81649658092772603</v>
      </c>
      <c r="E34" s="143">
        <v>1.4142135623730951</v>
      </c>
      <c r="F34" s="9" t="s">
        <v>212</v>
      </c>
      <c r="G34" s="8" t="s">
        <v>213</v>
      </c>
      <c r="H34" s="11" t="s">
        <v>156</v>
      </c>
      <c r="I34" s="240" t="str">
        <f t="shared" si="1"/>
        <v>---</v>
      </c>
      <c r="J34" s="240"/>
    </row>
    <row r="35" spans="1:10" x14ac:dyDescent="0.3">
      <c r="A35" s="7" t="s">
        <v>174</v>
      </c>
      <c r="B35" s="148"/>
      <c r="C35" s="143" t="e">
        <f t="shared" si="0"/>
        <v>#DIV/0!</v>
      </c>
      <c r="D35" s="143">
        <v>0.70710678118654757</v>
      </c>
      <c r="E35" s="143">
        <v>1.2247448713915894</v>
      </c>
      <c r="F35" s="9" t="s">
        <v>250</v>
      </c>
      <c r="G35" s="8" t="s">
        <v>249</v>
      </c>
      <c r="H35" s="11" t="s">
        <v>156</v>
      </c>
      <c r="I35" s="240" t="str">
        <f t="shared" si="1"/>
        <v>---</v>
      </c>
      <c r="J35" s="240"/>
    </row>
    <row r="36" spans="1:10" x14ac:dyDescent="0.3">
      <c r="A36" s="7" t="s">
        <v>172</v>
      </c>
      <c r="B36" s="148"/>
      <c r="C36" s="143" t="e">
        <f t="shared" si="0"/>
        <v>#DIV/0!</v>
      </c>
      <c r="D36" s="143">
        <v>0.49159604012508756</v>
      </c>
      <c r="E36" s="143">
        <v>1.0099504938362081</v>
      </c>
      <c r="F36" s="9" t="s">
        <v>214</v>
      </c>
      <c r="G36" s="8" t="s">
        <v>215</v>
      </c>
      <c r="H36" s="11" t="s">
        <v>156</v>
      </c>
      <c r="I36" s="240" t="str">
        <f t="shared" si="1"/>
        <v>---</v>
      </c>
      <c r="J36" s="240"/>
    </row>
    <row r="37" spans="1:10" x14ac:dyDescent="0.3">
      <c r="A37" s="7" t="s">
        <v>238</v>
      </c>
      <c r="B37" s="148"/>
      <c r="C37" s="143" t="e">
        <f t="shared" si="0"/>
        <v>#DIV/0!</v>
      </c>
      <c r="D37" s="143">
        <v>0.52599112793531666</v>
      </c>
      <c r="E37" s="143">
        <v>1.0198039027185568</v>
      </c>
      <c r="F37" s="9" t="s">
        <v>239</v>
      </c>
      <c r="G37" s="8" t="s">
        <v>240</v>
      </c>
      <c r="H37" s="11" t="s">
        <v>156</v>
      </c>
      <c r="I37" s="240" t="str">
        <f t="shared" si="1"/>
        <v>---</v>
      </c>
      <c r="J37" s="240"/>
    </row>
    <row r="38" spans="1:10" x14ac:dyDescent="0.3">
      <c r="A38" s="7" t="s">
        <v>173</v>
      </c>
      <c r="B38" s="148"/>
      <c r="C38" s="143" t="e">
        <f t="shared" si="0"/>
        <v>#DIV/0!</v>
      </c>
      <c r="D38" s="143">
        <v>0.81649658092772592</v>
      </c>
      <c r="E38" s="143">
        <v>1.4142135623730949</v>
      </c>
      <c r="F38" s="9" t="s">
        <v>217</v>
      </c>
      <c r="G38" s="8" t="s">
        <v>218</v>
      </c>
      <c r="H38" s="11" t="s">
        <v>156</v>
      </c>
      <c r="I38" s="240" t="str">
        <f t="shared" si="1"/>
        <v>---</v>
      </c>
      <c r="J38" s="240"/>
    </row>
    <row r="39" spans="1:10" x14ac:dyDescent="0.3">
      <c r="A39" s="7" t="s">
        <v>173</v>
      </c>
      <c r="B39" s="148"/>
      <c r="C39" s="143" t="e">
        <f t="shared" si="0"/>
        <v>#DIV/0!</v>
      </c>
      <c r="D39" s="143">
        <v>0.70710678118654746</v>
      </c>
      <c r="E39" s="143">
        <v>1.2247448713915887</v>
      </c>
      <c r="F39" s="9" t="s">
        <v>217</v>
      </c>
      <c r="G39" s="8" t="s">
        <v>237</v>
      </c>
      <c r="H39" s="11" t="s">
        <v>156</v>
      </c>
      <c r="I39" s="240" t="str">
        <f t="shared" si="1"/>
        <v>---</v>
      </c>
      <c r="J39" s="240"/>
    </row>
    <row r="40" spans="1:10" x14ac:dyDescent="0.3">
      <c r="A40" s="7" t="s">
        <v>203</v>
      </c>
      <c r="B40" s="148"/>
      <c r="C40" s="143" t="e">
        <f t="shared" si="0"/>
        <v>#DIV/0!</v>
      </c>
      <c r="D40" s="143">
        <v>0.44721359549995821</v>
      </c>
      <c r="E40" s="143">
        <v>1.0198039027185577</v>
      </c>
      <c r="F40" s="9" t="s">
        <v>204</v>
      </c>
      <c r="G40" s="8" t="s">
        <v>205</v>
      </c>
      <c r="H40" s="11" t="s">
        <v>156</v>
      </c>
      <c r="I40" s="240" t="str">
        <f t="shared" si="1"/>
        <v>---</v>
      </c>
      <c r="J40" s="240"/>
    </row>
    <row r="41" spans="1:10" x14ac:dyDescent="0.3">
      <c r="A41" s="7" t="s">
        <v>176</v>
      </c>
      <c r="B41" s="148"/>
      <c r="C41" s="143" t="e">
        <f t="shared" si="0"/>
        <v>#DIV/0!</v>
      </c>
      <c r="D41" s="143">
        <v>0.4195235392680608</v>
      </c>
      <c r="E41" s="143">
        <v>1.0392304845413267</v>
      </c>
      <c r="F41" s="9" t="s">
        <v>219</v>
      </c>
      <c r="G41" s="8" t="s">
        <v>220</v>
      </c>
      <c r="H41" s="11" t="s">
        <v>156</v>
      </c>
      <c r="I41" s="240" t="str">
        <f t="shared" si="1"/>
        <v>---</v>
      </c>
      <c r="J41" s="240"/>
    </row>
    <row r="42" spans="1:10" x14ac:dyDescent="0.3">
      <c r="A42" s="7" t="s">
        <v>177</v>
      </c>
      <c r="B42" s="148"/>
      <c r="C42" s="143" t="e">
        <f t="shared" si="0"/>
        <v>#DIV/0!</v>
      </c>
      <c r="D42" s="143">
        <v>0.63245553203367555</v>
      </c>
      <c r="E42" s="143">
        <v>1.4142135623730943</v>
      </c>
      <c r="F42" s="9" t="s">
        <v>252</v>
      </c>
      <c r="G42" s="8" t="s">
        <v>253</v>
      </c>
      <c r="H42" s="11" t="s">
        <v>156</v>
      </c>
      <c r="I42" s="240" t="str">
        <f t="shared" si="1"/>
        <v>---</v>
      </c>
      <c r="J42" s="240"/>
    </row>
    <row r="43" spans="1:10" x14ac:dyDescent="0.3">
      <c r="A43" s="173" t="s">
        <v>46</v>
      </c>
    </row>
  </sheetData>
  <sheetProtection password="83AF" sheet="1" objects="1" scenarios="1"/>
  <mergeCells count="60">
    <mergeCell ref="A6:B6"/>
    <mergeCell ref="A7:B7"/>
    <mergeCell ref="A8:B8"/>
    <mergeCell ref="G9:H9"/>
    <mergeCell ref="K4:K9"/>
    <mergeCell ref="H8:I8"/>
    <mergeCell ref="E7:E10"/>
    <mergeCell ref="C4:D4"/>
    <mergeCell ref="C5:D5"/>
    <mergeCell ref="C6:D6"/>
    <mergeCell ref="C9:D9"/>
    <mergeCell ref="A1:B1"/>
    <mergeCell ref="A2:B2"/>
    <mergeCell ref="A3:B3"/>
    <mergeCell ref="A4:B4"/>
    <mergeCell ref="A5:B5"/>
    <mergeCell ref="F1:G1"/>
    <mergeCell ref="F2:G2"/>
    <mergeCell ref="F3:G3"/>
    <mergeCell ref="C1:D1"/>
    <mergeCell ref="C2:D2"/>
    <mergeCell ref="C3:D3"/>
    <mergeCell ref="A9:B9"/>
    <mergeCell ref="A10:B10"/>
    <mergeCell ref="C7:D7"/>
    <mergeCell ref="C8:D8"/>
    <mergeCell ref="C10:D10"/>
    <mergeCell ref="I20:J20"/>
    <mergeCell ref="I10:J10"/>
    <mergeCell ref="I12:J12"/>
    <mergeCell ref="I13:J13"/>
    <mergeCell ref="I14:J14"/>
    <mergeCell ref="A11:J11"/>
    <mergeCell ref="I15:J15"/>
    <mergeCell ref="I16:J16"/>
    <mergeCell ref="I17:J17"/>
    <mergeCell ref="I18:J18"/>
    <mergeCell ref="I19:J19"/>
    <mergeCell ref="I32:J32"/>
    <mergeCell ref="I21:J21"/>
    <mergeCell ref="I22:J22"/>
    <mergeCell ref="I23:J23"/>
    <mergeCell ref="I24:J24"/>
    <mergeCell ref="I25:J25"/>
    <mergeCell ref="I26:J26"/>
    <mergeCell ref="I27:J27"/>
    <mergeCell ref="I28:J28"/>
    <mergeCell ref="I29:J29"/>
    <mergeCell ref="I30:J30"/>
    <mergeCell ref="I31:J31"/>
    <mergeCell ref="I39:J39"/>
    <mergeCell ref="I40:J40"/>
    <mergeCell ref="I41:J41"/>
    <mergeCell ref="I42:J42"/>
    <mergeCell ref="I33:J33"/>
    <mergeCell ref="I34:J34"/>
    <mergeCell ref="I35:J35"/>
    <mergeCell ref="I36:J36"/>
    <mergeCell ref="I37:J37"/>
    <mergeCell ref="I38:J38"/>
  </mergeCells>
  <conditionalFormatting sqref="C9 C1:C2 C6">
    <cfRule type="notContainsBlanks" dxfId="29" priority="57" stopIfTrue="1">
      <formula>LEN(TRIM(C1))&gt;0</formula>
    </cfRule>
    <cfRule type="containsBlanks" dxfId="28" priority="58" stopIfTrue="1">
      <formula>LEN(TRIM(C1))=0</formula>
    </cfRule>
  </conditionalFormatting>
  <conditionalFormatting sqref="C2 C6 B13:B42 G8">
    <cfRule type="notContainsBlanks" dxfId="27" priority="55" stopIfTrue="1">
      <formula>LEN(TRIM(B2))&gt;0</formula>
    </cfRule>
    <cfRule type="containsBlanks" dxfId="26" priority="56" stopIfTrue="1">
      <formula>LEN(TRIM(B2))=0</formula>
    </cfRule>
  </conditionalFormatting>
  <conditionalFormatting sqref="G9 C6:D6 I10:J10 J8:J9">
    <cfRule type="containsBlanks" dxfId="25" priority="46" stopIfTrue="1">
      <formula>LEN(TRIM(C6))=0</formula>
    </cfRule>
    <cfRule type="notContainsBlanks" dxfId="24" priority="60" stopIfTrue="1">
      <formula>LEN(TRIM(C6))&gt;0</formula>
    </cfRule>
  </conditionalFormatting>
  <conditionalFormatting sqref="I13:I42">
    <cfRule type="cellIs" dxfId="23" priority="25" stopIfTrue="1" operator="lessThan">
      <formula>0.8</formula>
    </cfRule>
    <cfRule type="cellIs" dxfId="22" priority="26" stopIfTrue="1" operator="between">
      <formula>0.8</formula>
      <formula>1</formula>
    </cfRule>
    <cfRule type="cellIs" dxfId="21" priority="62" stopIfTrue="1" operator="greaterThan">
      <formula>1</formula>
    </cfRule>
  </conditionalFormatting>
  <conditionalFormatting sqref="I13:J42">
    <cfRule type="expression" dxfId="20" priority="17" stopIfTrue="1">
      <formula>I13="---"</formula>
    </cfRule>
  </conditionalFormatting>
  <conditionalFormatting sqref="C3">
    <cfRule type="notContainsBlanks" dxfId="19" priority="15" stopIfTrue="1">
      <formula>LEN(TRIM(C3))&gt;0</formula>
    </cfRule>
    <cfRule type="containsBlanks" dxfId="18" priority="16" stopIfTrue="1">
      <formula>LEN(TRIM(C3))=0</formula>
    </cfRule>
  </conditionalFormatting>
  <conditionalFormatting sqref="C3">
    <cfRule type="notContainsBlanks" dxfId="17" priority="13" stopIfTrue="1">
      <formula>LEN(TRIM(C3))&gt;0</formula>
    </cfRule>
    <cfRule type="containsBlanks" dxfId="16" priority="14" stopIfTrue="1">
      <formula>LEN(TRIM(C3))=0</formula>
    </cfRule>
  </conditionalFormatting>
  <conditionalFormatting sqref="C4">
    <cfRule type="notContainsBlanks" dxfId="15" priority="11" stopIfTrue="1">
      <formula>LEN(TRIM(C4))&gt;0</formula>
    </cfRule>
    <cfRule type="containsBlanks" dxfId="14" priority="12" stopIfTrue="1">
      <formula>LEN(TRIM(C4))=0</formula>
    </cfRule>
  </conditionalFormatting>
  <conditionalFormatting sqref="C4">
    <cfRule type="notContainsBlanks" dxfId="13" priority="9" stopIfTrue="1">
      <formula>LEN(TRIM(C4))&gt;0</formula>
    </cfRule>
    <cfRule type="containsBlanks" dxfId="12" priority="10" stopIfTrue="1">
      <formula>LEN(TRIM(C4))=0</formula>
    </cfRule>
  </conditionalFormatting>
  <conditionalFormatting sqref="C5">
    <cfRule type="notContainsBlanks" dxfId="11" priority="7" stopIfTrue="1">
      <formula>LEN(TRIM(C5))&gt;0</formula>
    </cfRule>
    <cfRule type="containsBlanks" dxfId="10" priority="8" stopIfTrue="1">
      <formula>LEN(TRIM(C5))=0</formula>
    </cfRule>
  </conditionalFormatting>
  <conditionalFormatting sqref="C5">
    <cfRule type="notContainsBlanks" dxfId="9" priority="5" stopIfTrue="1">
      <formula>LEN(TRIM(C5))&gt;0</formula>
    </cfRule>
    <cfRule type="containsBlanks" dxfId="8" priority="6" stopIfTrue="1">
      <formula>LEN(TRIM(C5))=0</formula>
    </cfRule>
  </conditionalFormatting>
  <conditionalFormatting sqref="C7">
    <cfRule type="notContainsBlanks" dxfId="7" priority="3" stopIfTrue="1">
      <formula>LEN(TRIM(C7))&gt;0</formula>
    </cfRule>
    <cfRule type="containsBlanks" dxfId="6" priority="4" stopIfTrue="1">
      <formula>LEN(TRIM(C7))=0</formula>
    </cfRule>
  </conditionalFormatting>
  <conditionalFormatting sqref="C7">
    <cfRule type="notContainsBlanks" dxfId="5" priority="1" stopIfTrue="1">
      <formula>LEN(TRIM(C7))&gt;0</formula>
    </cfRule>
    <cfRule type="containsBlanks" dxfId="4" priority="2" stopIfTrue="1">
      <formula>LEN(TRIM(C7))=0</formula>
    </cfRule>
  </conditionalFormatting>
  <dataValidations count="4">
    <dataValidation type="list" allowBlank="1" showInputMessage="1" showErrorMessage="1" sqref="J8" xr:uid="{00000000-0002-0000-0300-000000000000}">
      <formula1>Unit</formula1>
    </dataValidation>
    <dataValidation type="list" allowBlank="1" showInputMessage="1" showErrorMessage="1" sqref="C9:D9" xr:uid="{00000000-0002-0000-0300-000001000000}">
      <formula1>"Mass Echelon I,Mass Echelon II"</formula1>
    </dataValidation>
    <dataValidation type="list" allowBlank="1" showInputMessage="1" showErrorMessage="1" sqref="G9:H9" xr:uid="{00000000-0002-0000-0300-000002000000}">
      <formula1>"ASTM E 617,OIML R 111, NIST HB 105-1,NIST HB 105-1 F,NIST HB 105-8"</formula1>
    </dataValidation>
    <dataValidation type="list" allowBlank="1" showInputMessage="1" showErrorMessage="1" sqref="J9" xr:uid="{00000000-0002-0000-0300-000003000000}">
      <formula1>"F,Weightcart,'000,'00,0,1,2,3,4,5,6,7,E1,E2,F1,F2,M1,M1-2,M2,M2-3,M3"</formula1>
    </dataValidation>
  </dataValidations>
  <pageMargins left="0.5" right="0.5" top="0.75" bottom="0.75" header="0.3" footer="0.3"/>
  <pageSetup scale="90" fitToHeight="3" orientation="landscape" horizontalDpi="1200" r:id="rId1"/>
  <headerFooter>
    <oddHeader>&amp;L&amp;"Trebuchet MS,Regular"&amp;12Advanced Mass Control Chart&amp;R&amp;"Trebuchet MS,Regular"&amp;12WAQCF-021, Rev. 01, 10/9/2015</oddHeader>
    <oddFooter>&amp;L&amp;"Trebuchet MS,Regular"&amp;12&amp;F&amp;R&amp;"Trebuchet MS,Regular"&amp;12&amp;A Worksheet Page &amp;P of &amp;N</oddFooter>
  </headerFooter>
  <ignoredErrors>
    <ignoredError sqref="F13:G13" twoDigitTextYear="1"/>
  </ignoredErrors>
  <drawing r:id="rId2"/>
  <legacyDrawing r:id="rId3"/>
  <oleObjects>
    <mc:AlternateContent xmlns:mc="http://schemas.openxmlformats.org/markup-compatibility/2006">
      <mc:Choice Requires="x14">
        <oleObject progId="Equation.3" shapeId="9219" r:id="rId4">
          <objectPr defaultSize="0" autoPict="0" r:id="rId5">
            <anchor moveWithCells="1">
              <from>
                <xdr:col>7</xdr:col>
                <xdr:colOff>457200</xdr:colOff>
                <xdr:row>3</xdr:row>
                <xdr:rowOff>152400</xdr:rowOff>
              </from>
              <to>
                <xdr:col>9</xdr:col>
                <xdr:colOff>542925</xdr:colOff>
                <xdr:row>6</xdr:row>
                <xdr:rowOff>9525</xdr:rowOff>
              </to>
            </anchor>
          </objectPr>
        </oleObject>
      </mc:Choice>
      <mc:Fallback>
        <oleObject progId="Equation.3" shapeId="9219" r:id="rId4"/>
      </mc:Fallback>
    </mc:AlternateContent>
    <mc:AlternateContent xmlns:mc="http://schemas.openxmlformats.org/markup-compatibility/2006">
      <mc:Choice Requires="x14">
        <oleObject progId="Equation.3" shapeId="9220" r:id="rId6">
          <objectPr defaultSize="0" autoPict="0" r:id="rId7">
            <anchor moveWithCells="1" sizeWithCells="1">
              <from>
                <xdr:col>5</xdr:col>
                <xdr:colOff>38100</xdr:colOff>
                <xdr:row>3</xdr:row>
                <xdr:rowOff>123825</xdr:rowOff>
              </from>
              <to>
                <xdr:col>7</xdr:col>
                <xdr:colOff>400050</xdr:colOff>
                <xdr:row>6</xdr:row>
                <xdr:rowOff>19050</xdr:rowOff>
              </to>
            </anchor>
          </objectPr>
        </oleObject>
      </mc:Choice>
      <mc:Fallback>
        <oleObject progId="Equation.3" shapeId="9220"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autoPageBreaks="0"/>
  </sheetPr>
  <dimension ref="A1:AI33"/>
  <sheetViews>
    <sheetView showGridLines="0" zoomScaleNormal="100" workbookViewId="0">
      <selection activeCell="D14" sqref="D14"/>
    </sheetView>
  </sheetViews>
  <sheetFormatPr defaultColWidth="0" defaultRowHeight="16.350000000000001" customHeight="1" zeroHeight="1" x14ac:dyDescent="0.2"/>
  <cols>
    <col min="1" max="2" width="16.5703125" style="181" customWidth="1"/>
    <col min="3" max="3" width="19.28515625" style="181" customWidth="1"/>
    <col min="4" max="4" width="20.42578125" style="181" customWidth="1"/>
    <col min="5" max="5" width="6.5703125" style="208" customWidth="1"/>
    <col min="6" max="6" width="4.5703125" style="181" customWidth="1"/>
    <col min="7" max="7" width="9.5703125" style="181" customWidth="1"/>
    <col min="8" max="10" width="12.5703125" style="181" customWidth="1"/>
    <col min="11" max="11" width="15.85546875" style="181" customWidth="1"/>
    <col min="12" max="12" width="16.7109375" style="181" customWidth="1"/>
    <col min="13" max="14" width="15.5703125" style="181" customWidth="1"/>
    <col min="15" max="33" width="10.5703125" style="181" customWidth="1"/>
    <col min="34" max="34" width="4.5703125" style="181" customWidth="1"/>
    <col min="35" max="35" width="5.5703125" style="181" customWidth="1"/>
    <col min="36" max="16384" width="10.5703125" style="181" hidden="1"/>
  </cols>
  <sheetData>
    <row r="1" spans="1:34" ht="19.5" thickBot="1" x14ac:dyDescent="0.25">
      <c r="A1" s="250" t="s">
        <v>259</v>
      </c>
      <c r="B1" s="250"/>
      <c r="C1" s="250"/>
      <c r="D1" s="250"/>
      <c r="E1" s="179"/>
      <c r="F1" s="251" t="s">
        <v>260</v>
      </c>
      <c r="G1" s="251"/>
      <c r="H1" s="251"/>
      <c r="I1" s="180"/>
      <c r="J1" s="180"/>
      <c r="K1" s="180"/>
      <c r="L1" s="180"/>
      <c r="M1" s="180"/>
      <c r="N1" s="180"/>
      <c r="O1" s="180"/>
      <c r="P1" s="180"/>
      <c r="Q1" s="180"/>
      <c r="R1" s="180"/>
      <c r="S1" s="180"/>
      <c r="T1" s="180"/>
      <c r="U1" s="180"/>
      <c r="V1" s="180"/>
      <c r="W1" s="180"/>
      <c r="X1" s="180"/>
      <c r="Y1" s="180"/>
      <c r="Z1" s="180"/>
      <c r="AA1" s="180"/>
      <c r="AB1" s="180"/>
      <c r="AC1" s="180"/>
      <c r="AD1" s="180"/>
      <c r="AE1" s="180"/>
      <c r="AF1" s="252" t="s">
        <v>260</v>
      </c>
      <c r="AG1" s="252"/>
      <c r="AH1" s="252"/>
    </row>
    <row r="2" spans="1:34" ht="18" x14ac:dyDescent="0.2">
      <c r="A2" s="253" t="s">
        <v>261</v>
      </c>
      <c r="B2" s="254"/>
      <c r="C2" s="254"/>
      <c r="D2" s="182">
        <f>Spec</f>
        <v>0</v>
      </c>
      <c r="E2" s="183"/>
      <c r="F2" s="184"/>
      <c r="G2" s="185" t="s">
        <v>262</v>
      </c>
      <c r="H2" s="186"/>
      <c r="I2" s="186"/>
      <c r="J2" s="186"/>
      <c r="K2" s="186"/>
      <c r="L2" s="186"/>
      <c r="M2" s="187"/>
      <c r="N2" s="188"/>
      <c r="O2" s="185" t="s">
        <v>263</v>
      </c>
      <c r="P2" s="186"/>
      <c r="Q2" s="186"/>
      <c r="R2" s="186"/>
      <c r="S2" s="186"/>
      <c r="T2" s="186"/>
      <c r="U2" s="186"/>
      <c r="V2" s="186"/>
      <c r="W2" s="186"/>
      <c r="X2" s="186"/>
      <c r="Y2" s="186"/>
      <c r="Z2" s="186"/>
      <c r="AA2" s="186"/>
      <c r="AB2" s="186"/>
      <c r="AC2" s="186"/>
      <c r="AD2" s="186"/>
      <c r="AE2" s="186"/>
      <c r="AF2" s="186"/>
      <c r="AG2" s="187"/>
      <c r="AH2" s="189"/>
    </row>
    <row r="3" spans="1:34" ht="18" x14ac:dyDescent="0.2">
      <c r="A3" s="255" t="s">
        <v>264</v>
      </c>
      <c r="B3" s="256"/>
      <c r="C3" s="256"/>
      <c r="D3" s="190" t="str">
        <f>IF(D2="ASTM E 617",'Data Entry'!J9,"---")</f>
        <v>---</v>
      </c>
      <c r="E3" s="191"/>
      <c r="F3" s="184"/>
      <c r="G3" s="192" t="s">
        <v>265</v>
      </c>
      <c r="H3" s="193" t="s">
        <v>266</v>
      </c>
      <c r="I3" s="193" t="s">
        <v>267</v>
      </c>
      <c r="J3" s="193" t="s">
        <v>268</v>
      </c>
      <c r="K3" s="193" t="s">
        <v>269</v>
      </c>
      <c r="L3" s="193" t="s">
        <v>270</v>
      </c>
      <c r="M3" s="194" t="s">
        <v>271</v>
      </c>
      <c r="N3" s="193"/>
      <c r="O3" s="192" t="s">
        <v>272</v>
      </c>
      <c r="P3" s="193" t="s">
        <v>273</v>
      </c>
      <c r="Q3" s="193" t="s">
        <v>274</v>
      </c>
      <c r="R3" s="193" t="s">
        <v>275</v>
      </c>
      <c r="S3" s="193" t="s">
        <v>276</v>
      </c>
      <c r="T3" s="193" t="s">
        <v>277</v>
      </c>
      <c r="U3" s="193" t="s">
        <v>278</v>
      </c>
      <c r="V3" s="193" t="s">
        <v>279</v>
      </c>
      <c r="W3" s="193" t="s">
        <v>280</v>
      </c>
      <c r="X3" s="193"/>
      <c r="Y3" s="193" t="s">
        <v>272</v>
      </c>
      <c r="Z3" s="193" t="s">
        <v>268</v>
      </c>
      <c r="AA3" s="193"/>
      <c r="AB3" s="193" t="s">
        <v>272</v>
      </c>
      <c r="AC3" s="193" t="s">
        <v>281</v>
      </c>
      <c r="AD3" s="193" t="s">
        <v>282</v>
      </c>
      <c r="AE3" s="193" t="s">
        <v>283</v>
      </c>
      <c r="AF3" s="193" t="s">
        <v>284</v>
      </c>
      <c r="AG3" s="194" t="s">
        <v>285</v>
      </c>
      <c r="AH3" s="189"/>
    </row>
    <row r="4" spans="1:34" ht="16.350000000000001" customHeight="1" x14ac:dyDescent="0.2">
      <c r="A4" s="257" t="s">
        <v>286</v>
      </c>
      <c r="B4" s="258"/>
      <c r="C4" s="258"/>
      <c r="D4" s="190" t="str">
        <f>IF(OR(D2="NIST HB 105-1",D2="OIML R 111"),'Data Entry'!J9,"---")</f>
        <v>---</v>
      </c>
      <c r="E4" s="195"/>
      <c r="F4" s="184"/>
      <c r="G4" s="192" t="s">
        <v>287</v>
      </c>
      <c r="H4" s="193" t="str">
        <f>IF($D$6="kg",$D$5*1000,"---")</f>
        <v>---</v>
      </c>
      <c r="I4" s="193" t="str">
        <f>IFERROR(VLOOKUP(H4,ASTM_g,VLOOKUP($D$3,$O$4:$W$13,2,FALSE),FALSE),"---")</f>
        <v>---</v>
      </c>
      <c r="J4" s="193" t="str">
        <f>IFERROR(VLOOKUP(H4,OIML,VLOOKUP($D$4,$Y$4:$Z$12,2,FALSE),FALSE),"---")</f>
        <v>---</v>
      </c>
      <c r="K4" s="193" t="str">
        <f>IFERROR(VLOOKUP(H4,NIST_g,VLOOKUP($D$4,$AB$4:$AG$12,2,FALSE),FALSE),"---")</f>
        <v>---</v>
      </c>
      <c r="L4" s="193" t="str">
        <f>IFERROR(IF(H4&gt;=1000,H4*0.1,IF(H4&lt;10,0.9*H4^0.31795,IF(AND(H4&lt;=300,H4&gt;=10),H4*0.2,70))),"---")</f>
        <v>---</v>
      </c>
      <c r="M4" s="196" t="s">
        <v>288</v>
      </c>
      <c r="N4" s="193"/>
      <c r="O4" s="197" t="s">
        <v>289</v>
      </c>
      <c r="P4" s="193">
        <v>2</v>
      </c>
      <c r="Q4" s="198"/>
      <c r="R4" s="198"/>
      <c r="S4" s="193"/>
      <c r="T4" s="193"/>
      <c r="U4" s="193"/>
      <c r="V4" s="193"/>
      <c r="W4" s="193"/>
      <c r="X4" s="193"/>
      <c r="Y4" s="199" t="s">
        <v>290</v>
      </c>
      <c r="Z4" s="193">
        <v>2</v>
      </c>
      <c r="AA4" s="193"/>
      <c r="AB4" s="199" t="s">
        <v>290</v>
      </c>
      <c r="AC4" s="193">
        <v>2</v>
      </c>
      <c r="AD4" s="193">
        <v>2</v>
      </c>
      <c r="AE4" s="193">
        <v>2</v>
      </c>
      <c r="AF4" s="193">
        <v>2</v>
      </c>
      <c r="AG4" s="194">
        <v>2</v>
      </c>
      <c r="AH4" s="189"/>
    </row>
    <row r="5" spans="1:34" ht="18" x14ac:dyDescent="0.2">
      <c r="A5" s="255" t="s">
        <v>291</v>
      </c>
      <c r="B5" s="256"/>
      <c r="C5" s="256"/>
      <c r="D5" s="200">
        <f>'Data Entry'!G8</f>
        <v>0</v>
      </c>
      <c r="E5" s="183"/>
      <c r="F5" s="184"/>
      <c r="G5" s="192" t="s">
        <v>292</v>
      </c>
      <c r="H5" s="193" t="str">
        <f>IF($D$6="g",$D$5,"---")</f>
        <v>---</v>
      </c>
      <c r="I5" s="193" t="str">
        <f>IFERROR(VLOOKUP(H5,ASTM_g,VLOOKUP($D$3,$O$4:$W$13,2,FALSE),FALSE),"---")</f>
        <v>---</v>
      </c>
      <c r="J5" s="193" t="str">
        <f>IFERROR(VLOOKUP(H5,OIML,VLOOKUP($D$4,$Y$4:$Z$12,2,FALSE),FALSE),"---")</f>
        <v>---</v>
      </c>
      <c r="K5" s="193" t="str">
        <f>IFERROR(VLOOKUP(H5,NIST_g,VLOOKUP($D$4,$AB$4:$AG$12,2,FALSE),FALSE),"---")</f>
        <v>---</v>
      </c>
      <c r="L5" s="193" t="str">
        <f>IFERROR(IF(H5&gt;=1000,H5*0.1,IF(H5&lt;10,0.9*H5^0.31795,IF(AND(H5&lt;=300,H5&gt;=10),H5*0.2,70))),"---")</f>
        <v>---</v>
      </c>
      <c r="M5" s="196" t="s">
        <v>288</v>
      </c>
      <c r="N5" s="193"/>
      <c r="O5" s="197" t="s">
        <v>293</v>
      </c>
      <c r="P5" s="193">
        <v>3</v>
      </c>
      <c r="Q5" s="198"/>
      <c r="R5" s="198"/>
      <c r="S5" s="193"/>
      <c r="T5" s="193"/>
      <c r="U5" s="193"/>
      <c r="V5" s="193"/>
      <c r="W5" s="193"/>
      <c r="X5" s="193"/>
      <c r="Y5" s="199" t="s">
        <v>294</v>
      </c>
      <c r="Z5" s="193">
        <v>3</v>
      </c>
      <c r="AA5" s="193"/>
      <c r="AB5" s="199" t="s">
        <v>294</v>
      </c>
      <c r="AC5" s="193">
        <v>3</v>
      </c>
      <c r="AD5" s="193">
        <v>3</v>
      </c>
      <c r="AE5" s="193">
        <v>3</v>
      </c>
      <c r="AF5" s="193">
        <v>3</v>
      </c>
      <c r="AG5" s="194">
        <v>3</v>
      </c>
      <c r="AH5" s="189"/>
    </row>
    <row r="6" spans="1:34" ht="18" x14ac:dyDescent="0.2">
      <c r="A6" s="255" t="s">
        <v>295</v>
      </c>
      <c r="B6" s="256"/>
      <c r="C6" s="256"/>
      <c r="D6" s="201">
        <f>'Data Entry'!J8</f>
        <v>0</v>
      </c>
      <c r="E6" s="183"/>
      <c r="F6" s="184"/>
      <c r="G6" s="192" t="s">
        <v>32</v>
      </c>
      <c r="H6" s="193" t="str">
        <f>IF($D$6="mg",$D$5/1000,"---")</f>
        <v>---</v>
      </c>
      <c r="I6" s="193" t="str">
        <f>IFERROR(VLOOKUP(H6,ASTM_g,VLOOKUP($D$3,$O$4:$W$13,2,FALSE),FALSE),"---")</f>
        <v>---</v>
      </c>
      <c r="J6" s="193" t="str">
        <f>IFERROR(VLOOKUP(H6,OIML,VLOOKUP($D$4,$Y$4:$Z$12,2,FALSE),FALSE),"---")</f>
        <v>---</v>
      </c>
      <c r="K6" s="193" t="str">
        <f>IFERROR(VLOOKUP(H6,NIST_g,VLOOKUP($D$4,$AB$4:$AG$12,2,FALSE),FALSE),"---")</f>
        <v>---</v>
      </c>
      <c r="L6" s="193" t="str">
        <f>IFERROR(IF(H6&gt;=1000,H6*0.1,IF(H6&lt;10,0.9*H6^0.31795,IF(AND(H6&lt;=300,H6&gt;=10),H6*0.2,70))),"---")</f>
        <v>---</v>
      </c>
      <c r="M6" s="196" t="s">
        <v>288</v>
      </c>
      <c r="N6" s="193"/>
      <c r="O6" s="202">
        <v>0</v>
      </c>
      <c r="P6" s="193">
        <v>4</v>
      </c>
      <c r="Q6" s="193">
        <v>2</v>
      </c>
      <c r="R6" s="193">
        <v>2</v>
      </c>
      <c r="S6" s="193"/>
      <c r="T6" s="193"/>
      <c r="U6" s="193"/>
      <c r="V6" s="193"/>
      <c r="W6" s="193"/>
      <c r="X6" s="193"/>
      <c r="Y6" s="199" t="s">
        <v>296</v>
      </c>
      <c r="Z6" s="193">
        <v>4</v>
      </c>
      <c r="AA6" s="193"/>
      <c r="AB6" s="199" t="s">
        <v>296</v>
      </c>
      <c r="AC6" s="193">
        <v>4</v>
      </c>
      <c r="AD6" s="193">
        <v>4</v>
      </c>
      <c r="AE6" s="193">
        <v>4</v>
      </c>
      <c r="AF6" s="193">
        <v>4</v>
      </c>
      <c r="AG6" s="194">
        <v>4</v>
      </c>
      <c r="AH6" s="189"/>
    </row>
    <row r="7" spans="1:34" ht="19.5" thickBot="1" x14ac:dyDescent="0.25">
      <c r="A7" s="203"/>
      <c r="B7" s="204" t="s">
        <v>297</v>
      </c>
      <c r="C7" s="205" t="b">
        <f>IF(D2="NIST HB 105-8",VLOOKUP(D6,$G$4:$M$18,7,FALSE),IF(D2="ASTM E 617",VLOOKUP(D6,$G$4:$M$18,3,FALSE),IF(D2="OIML R 111",VLOOKUP(D6,$G$4:$M$18,4,FALSE),IF(D2="NIST HB 105-1",VLOOKUP(D6,$G$4:$M$18,5,FALSE),IF(D2="NIST HB 105-1 F",L16)))))</f>
        <v>0</v>
      </c>
      <c r="D7" s="206"/>
      <c r="E7" s="207"/>
      <c r="F7" s="184"/>
      <c r="G7" s="192" t="s">
        <v>298</v>
      </c>
      <c r="H7" s="193" t="str">
        <f>IF($D$6="lb",$D$5*453.59237,"---")</f>
        <v>---</v>
      </c>
      <c r="I7" s="193" t="str">
        <f>IFERROR(VLOOKUP(H7,ASTM_lb,VLOOKUP($D$3,$O$4:$W$13,3,FALSE),FALSE),"---")</f>
        <v>---</v>
      </c>
      <c r="J7" s="198" t="s">
        <v>288</v>
      </c>
      <c r="K7" s="193" t="str">
        <f>IFERROR(VLOOKUP(H7,NIST_lb,VLOOKUP($D$4,$AB$4:$AG$12,3,FALSE),FALSE),"---")</f>
        <v>---</v>
      </c>
      <c r="L7" s="193" t="str">
        <f>IFERROR(IF(H7&gt;=1000,H7*0.1,IF(H7&lt;10,0.9*H7^0.31795,IF(AND(H7&lt;=300,H7&gt;=10),H7*0.2,70))),"---")</f>
        <v>---</v>
      </c>
      <c r="M7" s="194" t="str">
        <f>IFERROR(VLOOKUP(H7,Weightcart,2,FALSE),"---")</f>
        <v>---</v>
      </c>
      <c r="N7" s="193"/>
      <c r="O7" s="202">
        <v>1</v>
      </c>
      <c r="P7" s="193">
        <v>5</v>
      </c>
      <c r="Q7" s="193">
        <v>3</v>
      </c>
      <c r="R7" s="193">
        <v>3</v>
      </c>
      <c r="S7" s="193"/>
      <c r="T7" s="193"/>
      <c r="U7" s="193"/>
      <c r="V7" s="193"/>
      <c r="W7" s="193"/>
      <c r="X7" s="193"/>
      <c r="Y7" s="199" t="s">
        <v>299</v>
      </c>
      <c r="Z7" s="193">
        <v>5</v>
      </c>
      <c r="AA7" s="193"/>
      <c r="AB7" s="199" t="s">
        <v>299</v>
      </c>
      <c r="AC7" s="193">
        <v>5</v>
      </c>
      <c r="AD7" s="193">
        <v>5</v>
      </c>
      <c r="AE7" s="193">
        <v>5</v>
      </c>
      <c r="AF7" s="193">
        <v>5</v>
      </c>
      <c r="AG7" s="194">
        <v>5</v>
      </c>
      <c r="AH7" s="189"/>
    </row>
    <row r="8" spans="1:34" ht="18" x14ac:dyDescent="0.2">
      <c r="F8" s="184"/>
      <c r="G8" s="192" t="s">
        <v>300</v>
      </c>
      <c r="H8" s="193" t="str">
        <f>IF($D$6="oz",$D$5*28.349523125,"---")</f>
        <v>---</v>
      </c>
      <c r="I8" s="193" t="str">
        <f>IFERROR(VLOOKUP(H8,ASTM_oz,VLOOKUP($D$3,$O$4:$W$13,4,FALSE),FALSE),"---")</f>
        <v>---</v>
      </c>
      <c r="J8" s="198" t="s">
        <v>288</v>
      </c>
      <c r="K8" s="193" t="str">
        <f>IFERROR(VLOOKUP(H8,NIST_oz,VLOOKUP($D$4,$AB$4:$AG$12,4,FALSE),FALSE),"---")</f>
        <v>---</v>
      </c>
      <c r="L8" s="193" t="str">
        <f>IFERROR(IF(H8&gt;=1000,H8*0.1,IF(H8&lt;10,0.9*H8^0.31795,IF(AND(H8&lt;=300,H8&gt;=10),H8*0.2,70))),"---")</f>
        <v>---</v>
      </c>
      <c r="M8" s="196" t="s">
        <v>288</v>
      </c>
      <c r="N8" s="193"/>
      <c r="O8" s="202">
        <v>2</v>
      </c>
      <c r="P8" s="193">
        <v>6</v>
      </c>
      <c r="Q8" s="193">
        <v>4</v>
      </c>
      <c r="R8" s="193">
        <v>4</v>
      </c>
      <c r="S8" s="193">
        <v>2</v>
      </c>
      <c r="T8" s="193"/>
      <c r="U8" s="193"/>
      <c r="V8" s="193"/>
      <c r="W8" s="193"/>
      <c r="X8" s="193"/>
      <c r="Y8" s="199" t="s">
        <v>301</v>
      </c>
      <c r="Z8" s="193">
        <v>6</v>
      </c>
      <c r="AA8" s="193"/>
      <c r="AB8" s="199" t="s">
        <v>301</v>
      </c>
      <c r="AC8" s="193">
        <v>6</v>
      </c>
      <c r="AD8" s="193">
        <v>6</v>
      </c>
      <c r="AE8" s="193">
        <v>6</v>
      </c>
      <c r="AF8" s="193">
        <v>6</v>
      </c>
      <c r="AG8" s="194">
        <v>6</v>
      </c>
      <c r="AH8" s="189"/>
    </row>
    <row r="9" spans="1:34" ht="19.5" thickBot="1" x14ac:dyDescent="0.25">
      <c r="A9" s="259" t="s">
        <v>302</v>
      </c>
      <c r="B9" s="259"/>
      <c r="C9" s="259"/>
      <c r="D9" s="259"/>
      <c r="E9" s="209"/>
      <c r="F9" s="184"/>
      <c r="G9" s="192" t="s">
        <v>303</v>
      </c>
      <c r="H9" s="193" t="str">
        <f>IF($D$6="oz t",$D$5*31.1034768,"---")</f>
        <v>---</v>
      </c>
      <c r="I9" s="193" t="str">
        <f>IFERROR(VLOOKUP(H9,ASTM_ozt,VLOOKUP($D$3,$O$4:$W$13,5,FALSE),FALSE),"---")</f>
        <v>---</v>
      </c>
      <c r="J9" s="198" t="s">
        <v>288</v>
      </c>
      <c r="K9" s="198" t="s">
        <v>288</v>
      </c>
      <c r="L9" s="198" t="s">
        <v>288</v>
      </c>
      <c r="M9" s="196" t="s">
        <v>288</v>
      </c>
      <c r="N9" s="193"/>
      <c r="O9" s="202">
        <v>3</v>
      </c>
      <c r="P9" s="193">
        <v>7</v>
      </c>
      <c r="Q9" s="193">
        <v>5</v>
      </c>
      <c r="R9" s="193">
        <v>5</v>
      </c>
      <c r="S9" s="193">
        <v>3</v>
      </c>
      <c r="T9" s="193"/>
      <c r="U9" s="193"/>
      <c r="V9" s="193">
        <v>2</v>
      </c>
      <c r="W9" s="193"/>
      <c r="X9" s="193"/>
      <c r="Y9" s="199" t="s">
        <v>304</v>
      </c>
      <c r="Z9" s="193">
        <v>7</v>
      </c>
      <c r="AA9" s="193"/>
      <c r="AB9" s="199" t="s">
        <v>304</v>
      </c>
      <c r="AC9" s="193">
        <v>7</v>
      </c>
      <c r="AD9" s="193">
        <v>7</v>
      </c>
      <c r="AE9" s="193"/>
      <c r="AF9" s="193"/>
      <c r="AG9" s="194"/>
      <c r="AH9" s="189"/>
    </row>
    <row r="10" spans="1:34" ht="18.75" thickBot="1" x14ac:dyDescent="0.25">
      <c r="A10" s="260" t="s">
        <v>305</v>
      </c>
      <c r="B10" s="261"/>
      <c r="C10" s="261"/>
      <c r="D10" s="262"/>
      <c r="E10" s="210"/>
      <c r="F10" s="184"/>
      <c r="G10" s="192" t="s">
        <v>306</v>
      </c>
      <c r="H10" s="193" t="str">
        <f>IF($D$6="dwt",$D$5*1.55517384,"---")</f>
        <v>---</v>
      </c>
      <c r="I10" s="193" t="str">
        <f>IFERROR(VLOOKUP(H10,ASTM_dwt,VLOOKUP($D$3,$O$4:$W$13,6,FALSE),FALSE),"---")</f>
        <v>---</v>
      </c>
      <c r="J10" s="198" t="s">
        <v>288</v>
      </c>
      <c r="K10" s="198" t="s">
        <v>288</v>
      </c>
      <c r="L10" s="198" t="s">
        <v>288</v>
      </c>
      <c r="M10" s="196" t="s">
        <v>288</v>
      </c>
      <c r="N10" s="193"/>
      <c r="O10" s="202">
        <v>4</v>
      </c>
      <c r="P10" s="193">
        <v>8</v>
      </c>
      <c r="Q10" s="193">
        <v>6</v>
      </c>
      <c r="R10" s="193">
        <v>6</v>
      </c>
      <c r="S10" s="193">
        <v>4</v>
      </c>
      <c r="T10" s="193">
        <v>2</v>
      </c>
      <c r="U10" s="193">
        <v>2</v>
      </c>
      <c r="V10" s="193">
        <v>3</v>
      </c>
      <c r="W10" s="193">
        <v>2</v>
      </c>
      <c r="X10" s="193"/>
      <c r="Y10" s="199" t="s">
        <v>307</v>
      </c>
      <c r="Z10" s="193">
        <v>8</v>
      </c>
      <c r="AA10" s="193"/>
      <c r="AB10" s="199" t="s">
        <v>307</v>
      </c>
      <c r="AC10" s="193">
        <v>8</v>
      </c>
      <c r="AD10" s="193">
        <v>8</v>
      </c>
      <c r="AE10" s="193">
        <v>7</v>
      </c>
      <c r="AF10" s="193">
        <v>7</v>
      </c>
      <c r="AG10" s="194">
        <v>7</v>
      </c>
      <c r="AH10" s="189"/>
    </row>
    <row r="11" spans="1:34" ht="18" x14ac:dyDescent="0.2">
      <c r="A11" s="263" t="s">
        <v>308</v>
      </c>
      <c r="B11" s="264"/>
      <c r="C11" s="264"/>
      <c r="D11" s="211" t="e">
        <f>IF(AND(D2="ASTM E 617",ISNUMBER(VLOOKUP(D6,$G$4:$M$18,3,FALSE))),"---",IF(AND(D2="NIST HB 105-1",ISNUMBER(VLOOKUP(D6,$G$4:$M$18,5,FALSE))),"---",IF(OR(D2="OIML R 111",D2="NIST HB 105-1 F",D2="NIST HB 105-8",D2=""),"---",VLOOKUP(D6,G4:H15,2,FALSE))))</f>
        <v>#N/A</v>
      </c>
      <c r="E11" s="183"/>
      <c r="F11" s="184"/>
      <c r="G11" s="192" t="s">
        <v>309</v>
      </c>
      <c r="H11" s="193" t="str">
        <f>IF($D$6="gr",$D$5*0.06479891,"---")</f>
        <v>---</v>
      </c>
      <c r="I11" s="193" t="str">
        <f>IFERROR(VLOOKUP(H11,ASTM_gr,VLOOKUP($D$3,$O$4:$W$13,7,FALSE),FALSE),"---")</f>
        <v>---</v>
      </c>
      <c r="J11" s="198" t="s">
        <v>288</v>
      </c>
      <c r="K11" s="193" t="str">
        <f>IFERROR(VLOOKUP(H11,NIST_gr,VLOOKUP($D$4,$AB$4:$AG$12,6,FALSE),FALSE),"---")</f>
        <v>---</v>
      </c>
      <c r="L11" s="193" t="str">
        <f>IFERROR(IF(H11&gt;=1000,H11*0.1,IF(H11&lt;10,0.9*H11^0.31795,IF(AND(H11&lt;=300,H11&gt;=10),H11*0.2,70))),"---")</f>
        <v>---</v>
      </c>
      <c r="M11" s="196" t="s">
        <v>288</v>
      </c>
      <c r="N11" s="193"/>
      <c r="O11" s="202">
        <v>5</v>
      </c>
      <c r="P11" s="193">
        <v>9</v>
      </c>
      <c r="Q11" s="193">
        <v>7</v>
      </c>
      <c r="R11" s="193">
        <v>7</v>
      </c>
      <c r="S11" s="193">
        <v>5</v>
      </c>
      <c r="T11" s="193">
        <v>3</v>
      </c>
      <c r="U11" s="193">
        <v>3</v>
      </c>
      <c r="V11" s="193">
        <v>4</v>
      </c>
      <c r="W11" s="193">
        <v>3</v>
      </c>
      <c r="X11" s="193"/>
      <c r="Y11" s="199" t="s">
        <v>310</v>
      </c>
      <c r="Z11" s="193">
        <v>9</v>
      </c>
      <c r="AA11" s="193"/>
      <c r="AB11" s="199" t="s">
        <v>310</v>
      </c>
      <c r="AC11" s="193">
        <v>9</v>
      </c>
      <c r="AD11" s="193">
        <v>9</v>
      </c>
      <c r="AE11" s="193"/>
      <c r="AF11" s="193"/>
      <c r="AG11" s="194"/>
      <c r="AH11" s="189"/>
    </row>
    <row r="12" spans="1:34" ht="18" x14ac:dyDescent="0.2">
      <c r="A12" s="255" t="str">
        <f>"lower nominal value from table (x1) "&amp;D6&amp;":"</f>
        <v>lower nominal value from table (x1) 0:</v>
      </c>
      <c r="B12" s="256"/>
      <c r="C12" s="256"/>
      <c r="D12" s="212"/>
      <c r="E12" s="183"/>
      <c r="F12" s="184"/>
      <c r="G12" s="192" t="s">
        <v>311</v>
      </c>
      <c r="H12" s="193" t="str">
        <f>IF($D$6="carat",$D$5*0.2,"---")</f>
        <v>---</v>
      </c>
      <c r="I12" s="193" t="str">
        <f>IFERROR(VLOOKUP(H12,ASTM_carat,VLOOKUP($D$3,$O$4:$W$13,8,FALSE),FALSE),"---")</f>
        <v>---</v>
      </c>
      <c r="J12" s="198" t="s">
        <v>288</v>
      </c>
      <c r="K12" s="198" t="s">
        <v>288</v>
      </c>
      <c r="L12" s="198" t="s">
        <v>288</v>
      </c>
      <c r="M12" s="196" t="s">
        <v>288</v>
      </c>
      <c r="N12" s="193"/>
      <c r="O12" s="202">
        <v>6</v>
      </c>
      <c r="P12" s="193">
        <v>10</v>
      </c>
      <c r="Q12" s="193">
        <v>8</v>
      </c>
      <c r="R12" s="193">
        <v>8</v>
      </c>
      <c r="S12" s="193">
        <v>6</v>
      </c>
      <c r="T12" s="193">
        <v>4</v>
      </c>
      <c r="U12" s="193">
        <v>4</v>
      </c>
      <c r="V12" s="193">
        <v>5</v>
      </c>
      <c r="W12" s="193">
        <v>4</v>
      </c>
      <c r="X12" s="193"/>
      <c r="Y12" s="199" t="s">
        <v>312</v>
      </c>
      <c r="Z12" s="193">
        <v>10</v>
      </c>
      <c r="AA12" s="193"/>
      <c r="AB12" s="199" t="s">
        <v>312</v>
      </c>
      <c r="AC12" s="193">
        <v>10</v>
      </c>
      <c r="AD12" s="193">
        <v>10</v>
      </c>
      <c r="AE12" s="193">
        <v>8</v>
      </c>
      <c r="AF12" s="193">
        <v>8</v>
      </c>
      <c r="AG12" s="194">
        <v>8</v>
      </c>
      <c r="AH12" s="189"/>
    </row>
    <row r="13" spans="1:34" ht="18" x14ac:dyDescent="0.2">
      <c r="A13" s="265" t="s">
        <v>313</v>
      </c>
      <c r="B13" s="266"/>
      <c r="C13" s="266"/>
      <c r="D13" s="213" t="e">
        <f>IF(D11="---","---",VLOOKUP(D6,G20:H31,2,FALSE))</f>
        <v>#N/A</v>
      </c>
      <c r="E13" s="183"/>
      <c r="F13" s="184"/>
      <c r="G13" s="192" t="s">
        <v>314</v>
      </c>
      <c r="H13" s="193" t="str">
        <f>IF($D$6="oz ap",$D$5*31.1034768,"---")</f>
        <v>---</v>
      </c>
      <c r="I13" s="193" t="str">
        <f>IFERROR(VLOOKUP(H13,ASTM_ap,VLOOKUP($D$3,$O$4:$W$13,9,FALSE),FALSE),"---")</f>
        <v>---</v>
      </c>
      <c r="J13" s="198" t="s">
        <v>288</v>
      </c>
      <c r="K13" s="193" t="str">
        <f>IFERROR(VLOOKUP(H13,NIST_ap,VLOOKUP($D$4,$AB$4:$AG$12,5,FALSE),FALSE),"---")</f>
        <v>---</v>
      </c>
      <c r="L13" s="193" t="str">
        <f>IFERROR(IF(H13&gt;=1000,H13*0.1,IF(H13&lt;10,0.9*H13^0.31795,IF(AND(H13&lt;=300,H13&gt;=10),H13*0.2,70))),"---")</f>
        <v>---</v>
      </c>
      <c r="M13" s="196" t="s">
        <v>288</v>
      </c>
      <c r="N13" s="193"/>
      <c r="O13" s="214">
        <v>7</v>
      </c>
      <c r="P13" s="215">
        <v>11</v>
      </c>
      <c r="Q13" s="215">
        <v>9</v>
      </c>
      <c r="R13" s="215">
        <v>9</v>
      </c>
      <c r="S13" s="215"/>
      <c r="T13" s="215"/>
      <c r="U13" s="215"/>
      <c r="V13" s="215">
        <v>6</v>
      </c>
      <c r="W13" s="215">
        <v>5</v>
      </c>
      <c r="X13" s="215"/>
      <c r="Y13" s="215"/>
      <c r="Z13" s="215"/>
      <c r="AA13" s="215"/>
      <c r="AB13" s="215"/>
      <c r="AC13" s="215"/>
      <c r="AD13" s="215"/>
      <c r="AE13" s="215"/>
      <c r="AF13" s="215"/>
      <c r="AG13" s="216"/>
      <c r="AH13" s="189"/>
    </row>
    <row r="14" spans="1:34" ht="18" x14ac:dyDescent="0.2">
      <c r="A14" s="255" t="str">
        <f>"upper nominal value from table (x2) "&amp;D6&amp;":"</f>
        <v>upper nominal value from table (x2) 0:</v>
      </c>
      <c r="B14" s="256"/>
      <c r="C14" s="256"/>
      <c r="D14" s="212"/>
      <c r="E14" s="183"/>
      <c r="F14" s="184"/>
      <c r="G14" s="192" t="s">
        <v>315</v>
      </c>
      <c r="H14" s="193" t="str">
        <f>IF($D$6="dr ap",$D$5*3.8879346,"---")</f>
        <v>---</v>
      </c>
      <c r="I14" s="193" t="str">
        <f>IFERROR(VLOOKUP(H14,ASTM_ap,VLOOKUP($D$3,$O$4:$W$13,9,FALSE),FALSE),"---")</f>
        <v>---</v>
      </c>
      <c r="J14" s="198" t="s">
        <v>288</v>
      </c>
      <c r="K14" s="193" t="str">
        <f>IFERROR(VLOOKUP(H14,NIST_ap,VLOOKUP($D$4,$AB$4:$AG$12,5,FALSE),FALSE),"---")</f>
        <v>---</v>
      </c>
      <c r="L14" s="193" t="str">
        <f>IFERROR(IF(H14&gt;=1000,H14*0.1,IF(H14&lt;10,0.9*H14^0.31795,IF(AND(H14&lt;=300,H14&gt;=10),H14*0.2,70))),"---")</f>
        <v>---</v>
      </c>
      <c r="M14" s="196" t="s">
        <v>288</v>
      </c>
      <c r="N14" s="193"/>
      <c r="O14" s="193"/>
      <c r="P14" s="193"/>
      <c r="Q14" s="193"/>
      <c r="R14" s="193"/>
      <c r="S14" s="193"/>
      <c r="T14" s="193"/>
      <c r="U14" s="193"/>
      <c r="V14" s="193"/>
      <c r="W14" s="193"/>
      <c r="X14" s="193"/>
      <c r="Y14" s="193"/>
      <c r="Z14" s="193"/>
      <c r="AA14" s="193"/>
      <c r="AB14" s="193"/>
      <c r="AC14" s="193"/>
      <c r="AD14" s="193"/>
      <c r="AE14" s="193"/>
      <c r="AF14" s="193"/>
      <c r="AG14" s="194"/>
      <c r="AH14" s="189"/>
    </row>
    <row r="15" spans="1:34" ht="18" x14ac:dyDescent="0.2">
      <c r="A15" s="265" t="s">
        <v>316</v>
      </c>
      <c r="B15" s="266"/>
      <c r="C15" s="266"/>
      <c r="D15" s="213" t="e">
        <f>IF(D11="---","---",VLOOKUP(D6,L20:M31,2,FALSE))</f>
        <v>#N/A</v>
      </c>
      <c r="E15" s="183"/>
      <c r="F15" s="184"/>
      <c r="G15" s="217" t="s">
        <v>317</v>
      </c>
      <c r="H15" s="215" t="str">
        <f>IF($D$6="s ap",$D$5*1.2959782,"---")</f>
        <v>---</v>
      </c>
      <c r="I15" s="215" t="str">
        <f>IFERROR(VLOOKUP(H15,ASTM_ap,VLOOKUP($D$3,$O$4:$W$13,9,FALSE),FALSE),"---")</f>
        <v>---</v>
      </c>
      <c r="J15" s="218" t="s">
        <v>288</v>
      </c>
      <c r="K15" s="215" t="str">
        <f>IFERROR(VLOOKUP(H15,NIST_ap,VLOOKUP($D$4,$AB$4:$AG$12,5,FALSE),FALSE),"---")</f>
        <v>---</v>
      </c>
      <c r="L15" s="215" t="str">
        <f>IFERROR(IF(H15&gt;=1000,H15*0.1,IF(H15&lt;10,0.9*H15^0.31795,IF(AND(H15&lt;=300,H15&gt;=10),H15*0.2,70))),"---")</f>
        <v>---</v>
      </c>
      <c r="M15" s="219" t="s">
        <v>288</v>
      </c>
      <c r="N15" s="193"/>
      <c r="O15" s="193"/>
      <c r="P15" s="193"/>
      <c r="Q15" s="193"/>
      <c r="R15" s="193"/>
      <c r="S15" s="193"/>
      <c r="T15" s="193"/>
      <c r="U15" s="193"/>
      <c r="V15" s="193"/>
      <c r="W15" s="193"/>
      <c r="X15" s="193"/>
      <c r="Y15" s="193"/>
      <c r="Z15" s="193"/>
      <c r="AA15" s="193"/>
      <c r="AB15" s="193"/>
      <c r="AC15" s="193"/>
      <c r="AD15" s="193"/>
      <c r="AE15" s="193"/>
      <c r="AF15" s="193"/>
      <c r="AG15" s="194"/>
      <c r="AH15" s="189"/>
    </row>
    <row r="16" spans="1:34" ht="18" x14ac:dyDescent="0.2">
      <c r="A16" s="265" t="s">
        <v>318</v>
      </c>
      <c r="B16" s="266"/>
      <c r="C16" s="266"/>
      <c r="D16" s="220" t="e">
        <f>IF(D11="---","---",IF(D2="ASTM E 617",VLOOKUP(D6,G20:J31,3,FALSE),IF(D2="NIST HB 105-1",VLOOKUP(D6,G20:J31,4,FALSE))))</f>
        <v>#N/A</v>
      </c>
      <c r="E16" s="183"/>
      <c r="F16" s="184"/>
      <c r="G16" s="267" t="s">
        <v>319</v>
      </c>
      <c r="H16" s="268"/>
      <c r="I16" s="268"/>
      <c r="J16" s="268"/>
      <c r="K16" s="268"/>
      <c r="L16" s="186" t="e">
        <f>FIXED(VLOOKUP(D6,$G$4:$M$18,6,FALSE),2-1-INT(LOG10(ABS(VLOOKUP(D6,$G$4:$M$18,6,FALSE)))))</f>
        <v>#N/A</v>
      </c>
      <c r="M16" s="221"/>
      <c r="N16" s="193"/>
      <c r="O16" s="193"/>
      <c r="P16" s="193"/>
      <c r="Q16" s="193"/>
      <c r="R16" s="193"/>
      <c r="S16" s="193"/>
      <c r="T16" s="193"/>
      <c r="U16" s="193"/>
      <c r="V16" s="193"/>
      <c r="W16" s="193"/>
      <c r="X16" s="193"/>
      <c r="Y16" s="193"/>
      <c r="Z16" s="193"/>
      <c r="AA16" s="193"/>
      <c r="AB16" s="193"/>
      <c r="AC16" s="193"/>
      <c r="AD16" s="193"/>
      <c r="AE16" s="193"/>
      <c r="AF16" s="193"/>
      <c r="AG16" s="194"/>
      <c r="AH16" s="189"/>
    </row>
    <row r="17" spans="1:34" ht="18" x14ac:dyDescent="0.2">
      <c r="A17" s="265" t="s">
        <v>320</v>
      </c>
      <c r="B17" s="266"/>
      <c r="C17" s="266"/>
      <c r="D17" s="220" t="e">
        <f>IF(D11="---","---",IF(D2="ASTM E 617",VLOOKUP(D6,L20:O31,3,FALSE),IF(D2="NIST HB 105-1",VLOOKUP(D6,L20:O31,4,FALSE))))</f>
        <v>#N/A</v>
      </c>
      <c r="E17" s="183"/>
      <c r="F17" s="184"/>
      <c r="G17" s="192"/>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H17" s="189"/>
    </row>
    <row r="18" spans="1:34" ht="18" x14ac:dyDescent="0.2">
      <c r="A18" s="265" t="s">
        <v>321</v>
      </c>
      <c r="B18" s="266"/>
      <c r="C18" s="266"/>
      <c r="D18" s="220" t="e">
        <f>IF(D17="---","---",D16+(D11-D13)*(D17-D16)/(D15-D13))</f>
        <v>#N/A</v>
      </c>
      <c r="E18" s="183"/>
      <c r="F18" s="184"/>
      <c r="G18" s="185" t="s">
        <v>322</v>
      </c>
      <c r="H18" s="186"/>
      <c r="I18" s="186"/>
      <c r="J18" s="186"/>
      <c r="K18" s="187"/>
      <c r="L18" s="185" t="s">
        <v>323</v>
      </c>
      <c r="M18" s="186"/>
      <c r="N18" s="186"/>
      <c r="O18" s="186"/>
      <c r="P18" s="187"/>
      <c r="Q18" s="193"/>
      <c r="R18" s="193"/>
      <c r="S18" s="193"/>
      <c r="T18" s="193"/>
      <c r="U18" s="193"/>
      <c r="V18" s="193"/>
      <c r="W18" s="193"/>
      <c r="X18" s="193"/>
      <c r="Y18" s="193"/>
      <c r="Z18" s="193"/>
      <c r="AA18" s="193"/>
      <c r="AB18" s="193"/>
      <c r="AC18" s="193"/>
      <c r="AD18" s="193"/>
      <c r="AE18" s="193"/>
      <c r="AF18" s="193"/>
      <c r="AG18" s="194"/>
      <c r="AH18" s="189"/>
    </row>
    <row r="19" spans="1:34" ht="19.5" thickBot="1" x14ac:dyDescent="0.25">
      <c r="A19" s="269" t="s">
        <v>297</v>
      </c>
      <c r="B19" s="270"/>
      <c r="C19" s="205" t="str">
        <f>IFERROR(FIXED(D18,2-1-INT(LOG10(ABS(D18)))),"---")</f>
        <v>---</v>
      </c>
      <c r="D19" s="206"/>
      <c r="E19" s="207"/>
      <c r="F19" s="184"/>
      <c r="G19" s="192" t="s">
        <v>265</v>
      </c>
      <c r="H19" s="193" t="s">
        <v>266</v>
      </c>
      <c r="I19" s="193" t="s">
        <v>267</v>
      </c>
      <c r="J19" s="193" t="s">
        <v>269</v>
      </c>
      <c r="K19" s="194"/>
      <c r="L19" s="192" t="s">
        <v>265</v>
      </c>
      <c r="M19" s="193" t="s">
        <v>266</v>
      </c>
      <c r="N19" s="193" t="s">
        <v>267</v>
      </c>
      <c r="O19" s="193" t="s">
        <v>269</v>
      </c>
      <c r="P19" s="194"/>
      <c r="Q19" s="193"/>
      <c r="R19" s="193"/>
      <c r="S19" s="193"/>
      <c r="T19" s="193"/>
      <c r="U19" s="193"/>
      <c r="V19" s="193"/>
      <c r="W19" s="193"/>
      <c r="X19" s="193"/>
      <c r="Y19" s="193"/>
      <c r="Z19" s="193"/>
      <c r="AA19" s="193"/>
      <c r="AB19" s="193"/>
      <c r="AC19" s="193"/>
      <c r="AD19" s="193"/>
      <c r="AE19" s="193"/>
      <c r="AF19" s="193"/>
      <c r="AG19" s="194"/>
      <c r="AH19" s="189"/>
    </row>
    <row r="20" spans="1:34" ht="16.350000000000001" customHeight="1" x14ac:dyDescent="0.2">
      <c r="A20" s="271" t="s">
        <v>324</v>
      </c>
      <c r="B20" s="272"/>
      <c r="C20" s="277"/>
      <c r="D20" s="278"/>
      <c r="E20" s="222"/>
      <c r="F20" s="184"/>
      <c r="G20" s="192" t="s">
        <v>287</v>
      </c>
      <c r="H20" s="193" t="str">
        <f>IF($D$6="kg",$D$12*1000,"---")</f>
        <v>---</v>
      </c>
      <c r="I20" s="193" t="str">
        <f>IFERROR(VLOOKUP(H20,ASTM_g,VLOOKUP($D$3,$O$4:$W$13,2,FALSE),FALSE),"---")</f>
        <v>---</v>
      </c>
      <c r="J20" s="193" t="str">
        <f>IFERROR(VLOOKUP(H20,NIST_g,VLOOKUP($D$4,$AB$4:$AG$12,2,FALSE),FALSE),"---")</f>
        <v>---</v>
      </c>
      <c r="K20" s="194"/>
      <c r="L20" s="192" t="s">
        <v>287</v>
      </c>
      <c r="M20" s="193" t="str">
        <f>IF($D$6="kg",$D$14*1000,"---")</f>
        <v>---</v>
      </c>
      <c r="N20" s="193" t="str">
        <f>IFERROR(VLOOKUP(M20,ASTM_g,VLOOKUP($D$3,$O$4:$W$13,2,FALSE),FALSE),"---")</f>
        <v>---</v>
      </c>
      <c r="O20" s="193" t="str">
        <f>IFERROR(VLOOKUP(M20,NIST_g,VLOOKUP($D$4,$AB$4:$AG$12,2,FALSE),FALSE),"---")</f>
        <v>---</v>
      </c>
      <c r="P20" s="194"/>
      <c r="Q20" s="193"/>
      <c r="R20" s="193"/>
      <c r="S20" s="193"/>
      <c r="T20" s="193"/>
      <c r="U20" s="193"/>
      <c r="V20" s="193"/>
      <c r="W20" s="193"/>
      <c r="X20" s="193"/>
      <c r="Y20" s="193"/>
      <c r="Z20" s="193"/>
      <c r="AA20" s="193"/>
      <c r="AB20" s="193"/>
      <c r="AC20" s="193"/>
      <c r="AD20" s="193"/>
      <c r="AE20" s="193"/>
      <c r="AF20" s="193"/>
      <c r="AG20" s="194"/>
      <c r="AH20" s="189"/>
    </row>
    <row r="21" spans="1:34" ht="18" x14ac:dyDescent="0.2">
      <c r="A21" s="273"/>
      <c r="B21" s="274"/>
      <c r="C21" s="279"/>
      <c r="D21" s="280"/>
      <c r="E21" s="222"/>
      <c r="F21" s="184"/>
      <c r="G21" s="192" t="s">
        <v>292</v>
      </c>
      <c r="H21" s="193" t="str">
        <f>IF($D$6="g",$D$12,"---")</f>
        <v>---</v>
      </c>
      <c r="I21" s="193" t="str">
        <f>IFERROR(VLOOKUP(H21,ASTM_g,VLOOKUP($D$3,$O$4:$W$13,2,FALSE),FALSE),"---")</f>
        <v>---</v>
      </c>
      <c r="J21" s="193" t="str">
        <f>IFERROR(VLOOKUP(H21,NIST_g,VLOOKUP($D$4,$AB$4:$AG$12,2,FALSE),FALSE),"---")</f>
        <v>---</v>
      </c>
      <c r="K21" s="194"/>
      <c r="L21" s="192" t="s">
        <v>292</v>
      </c>
      <c r="M21" s="193" t="str">
        <f>IF($D$6="g",$D$14,"---")</f>
        <v>---</v>
      </c>
      <c r="N21" s="193" t="str">
        <f>IFERROR(VLOOKUP(M21,ASTM_g,VLOOKUP($D$3,$O$4:$W$13,2,FALSE),FALSE),"---")</f>
        <v>---</v>
      </c>
      <c r="O21" s="193" t="str">
        <f>IFERROR(VLOOKUP(M21,NIST_g,VLOOKUP($D$4,$AB$4:$AG$12,2,FALSE),FALSE),"---")</f>
        <v>---</v>
      </c>
      <c r="P21" s="194"/>
      <c r="Q21" s="193"/>
      <c r="R21" s="193"/>
      <c r="S21" s="193"/>
      <c r="T21" s="193"/>
      <c r="U21" s="193"/>
      <c r="V21" s="193"/>
      <c r="W21" s="193"/>
      <c r="X21" s="193"/>
      <c r="Y21" s="193"/>
      <c r="Z21" s="193"/>
      <c r="AA21" s="193"/>
      <c r="AB21" s="193"/>
      <c r="AC21" s="193"/>
      <c r="AD21" s="193"/>
      <c r="AE21" s="193"/>
      <c r="AF21" s="193"/>
      <c r="AG21" s="194"/>
      <c r="AH21" s="189"/>
    </row>
    <row r="22" spans="1:34" ht="18.75" thickBot="1" x14ac:dyDescent="0.25">
      <c r="A22" s="275"/>
      <c r="B22" s="276"/>
      <c r="C22" s="281"/>
      <c r="D22" s="282"/>
      <c r="E22" s="222"/>
      <c r="F22" s="184"/>
      <c r="G22" s="192" t="s">
        <v>32</v>
      </c>
      <c r="H22" s="193" t="str">
        <f>IF($D$6="mg",$D$12/1000,"---")</f>
        <v>---</v>
      </c>
      <c r="I22" s="193" t="str">
        <f>IFERROR(VLOOKUP(H22,ASTM_g,VLOOKUP($D$3,$O$4:$W$13,2,FALSE),FALSE),"---")</f>
        <v>---</v>
      </c>
      <c r="J22" s="193" t="str">
        <f>IFERROR(VLOOKUP(H22,NIST_g,VLOOKUP($D$4,$AB$4:$AG$12,2,FALSE),FALSE),"---")</f>
        <v>---</v>
      </c>
      <c r="K22" s="194"/>
      <c r="L22" s="192" t="s">
        <v>32</v>
      </c>
      <c r="M22" s="193" t="str">
        <f>IF($D$6="mg",$D$14/1000,"---")</f>
        <v>---</v>
      </c>
      <c r="N22" s="193" t="str">
        <f>IFERROR(VLOOKUP(M22,ASTM_g,VLOOKUP($D$3,$O$4:$W$13,2,FALSE),FALSE),"---")</f>
        <v>---</v>
      </c>
      <c r="O22" s="193" t="str">
        <f>IFERROR(VLOOKUP(M22,NIST_g,VLOOKUP($D$4,$AB$4:$AG$12,2,FALSE),FALSE),"---")</f>
        <v>---</v>
      </c>
      <c r="P22" s="194"/>
      <c r="Q22" s="193"/>
      <c r="R22" s="193"/>
      <c r="S22" s="193"/>
      <c r="T22" s="193"/>
      <c r="U22" s="193"/>
      <c r="V22" s="193"/>
      <c r="W22" s="193"/>
      <c r="X22" s="193"/>
      <c r="Y22" s="193"/>
      <c r="Z22" s="193"/>
      <c r="AA22" s="193"/>
      <c r="AB22" s="193"/>
      <c r="AC22" s="193"/>
      <c r="AD22" s="193"/>
      <c r="AE22" s="193"/>
      <c r="AF22" s="193"/>
      <c r="AG22" s="194"/>
      <c r="AH22" s="189"/>
    </row>
    <row r="23" spans="1:34" ht="18" x14ac:dyDescent="0.2">
      <c r="B23" s="39"/>
      <c r="F23" s="184"/>
      <c r="G23" s="192" t="s">
        <v>298</v>
      </c>
      <c r="H23" s="193" t="str">
        <f>IF($D$6="lb",$D$12*453.59237,"---")</f>
        <v>---</v>
      </c>
      <c r="I23" s="193" t="str">
        <f>IFERROR(VLOOKUP(H23,ASTM_lb,VLOOKUP($D$3,$O$4:$W$13,3,FALSE),FALSE),"---")</f>
        <v>---</v>
      </c>
      <c r="J23" s="193" t="str">
        <f>IFERROR(VLOOKUP(H23,NIST_lb,VLOOKUP($D$4,$AB$4:$AG$12,3,FALSE),FALSE),"---")</f>
        <v>---</v>
      </c>
      <c r="K23" s="194"/>
      <c r="L23" s="192" t="s">
        <v>298</v>
      </c>
      <c r="M23" s="193" t="str">
        <f>IF($D$6="lb",$D$14*453.59237,"---")</f>
        <v>---</v>
      </c>
      <c r="N23" s="193" t="str">
        <f>IFERROR(VLOOKUP(M23,ASTM_lb,VLOOKUP($D$3,$O$4:$W$13,3,FALSE),FALSE),"---")</f>
        <v>---</v>
      </c>
      <c r="O23" s="193" t="str">
        <f>IFERROR(VLOOKUP(M23,NIST_lb,VLOOKUP($D$4,$AB$4:$AG$12,3,FALSE),FALSE),"---")</f>
        <v>---</v>
      </c>
      <c r="P23" s="194"/>
      <c r="Q23" s="193"/>
      <c r="R23" s="193"/>
      <c r="S23" s="193"/>
      <c r="T23" s="193"/>
      <c r="U23" s="193"/>
      <c r="V23" s="193"/>
      <c r="W23" s="193"/>
      <c r="X23" s="193"/>
      <c r="Y23" s="193"/>
      <c r="Z23" s="193"/>
      <c r="AA23" s="193"/>
      <c r="AB23" s="193"/>
      <c r="AC23" s="193"/>
      <c r="AD23" s="193"/>
      <c r="AE23" s="193"/>
      <c r="AF23" s="193"/>
      <c r="AG23" s="194"/>
      <c r="AH23" s="189"/>
    </row>
    <row r="24" spans="1:34" ht="18" x14ac:dyDescent="0.2">
      <c r="A24" s="2"/>
      <c r="B24" s="2"/>
      <c r="C24" s="2"/>
      <c r="D24" s="2"/>
      <c r="E24" s="223"/>
      <c r="F24" s="184"/>
      <c r="G24" s="192" t="s">
        <v>300</v>
      </c>
      <c r="H24" s="193" t="str">
        <f>IF($D$6="oz",$D$12*28.349523125,"---")</f>
        <v>---</v>
      </c>
      <c r="I24" s="193" t="str">
        <f>IFERROR(VLOOKUP(H24,ASTM_oz,VLOOKUP($D$3,$O$4:$W$13,4,FALSE),FALSE),"---")</f>
        <v>---</v>
      </c>
      <c r="J24" s="193" t="str">
        <f>IFERROR(VLOOKUP(H24,NIST_oz,VLOOKUP($D$4,$AB$4:$AG$12,4,FALSE),FALSE),"---")</f>
        <v>---</v>
      </c>
      <c r="K24" s="194"/>
      <c r="L24" s="192" t="s">
        <v>300</v>
      </c>
      <c r="M24" s="193" t="str">
        <f>IF($D$6="oz",$D$14*28.349523125,"---")</f>
        <v>---</v>
      </c>
      <c r="N24" s="193" t="str">
        <f>IFERROR(VLOOKUP(M24,ASTM_oz,VLOOKUP($D$3,$O$4:$W$13,4,FALSE),FALSE),"---")</f>
        <v>---</v>
      </c>
      <c r="O24" s="193" t="str">
        <f>IFERROR(VLOOKUP(M24,NIST_oz,VLOOKUP($D$4,$AB$4:$AG$12,4,FALSE),FALSE),"---")</f>
        <v>---</v>
      </c>
      <c r="P24" s="194"/>
      <c r="Q24" s="193"/>
      <c r="R24" s="193"/>
      <c r="S24" s="193"/>
      <c r="T24" s="193"/>
      <c r="U24" s="193"/>
      <c r="V24" s="193"/>
      <c r="W24" s="193"/>
      <c r="X24" s="193"/>
      <c r="Y24" s="193"/>
      <c r="Z24" s="193"/>
      <c r="AA24" s="193"/>
      <c r="AB24" s="193"/>
      <c r="AC24" s="193"/>
      <c r="AD24" s="193"/>
      <c r="AE24" s="193"/>
      <c r="AF24" s="193"/>
      <c r="AG24" s="194"/>
      <c r="AH24" s="189"/>
    </row>
    <row r="25" spans="1:34" ht="18" x14ac:dyDescent="0.2">
      <c r="A25" s="2"/>
      <c r="B25" s="2"/>
      <c r="C25" s="2"/>
      <c r="D25" s="2"/>
      <c r="E25" s="223"/>
      <c r="F25" s="184"/>
      <c r="G25" s="192" t="s">
        <v>303</v>
      </c>
      <c r="H25" s="193" t="str">
        <f>IF($D$6="oz t",$D$12*31.1034768,"---")</f>
        <v>---</v>
      </c>
      <c r="I25" s="193" t="str">
        <f>IFERROR(VLOOKUP(H25,ASTM_ozt,VLOOKUP($D$3,$O$4:$W$13,5,FALSE),FALSE),"---")</f>
        <v>---</v>
      </c>
      <c r="J25" s="198" t="s">
        <v>288</v>
      </c>
      <c r="K25" s="194"/>
      <c r="L25" s="192" t="s">
        <v>303</v>
      </c>
      <c r="M25" s="193" t="str">
        <f>IF($D$6="oz t",$D$14*31.1034768,"---")</f>
        <v>---</v>
      </c>
      <c r="N25" s="193" t="str">
        <f>IFERROR(VLOOKUP(M25,ASTM_ozt,VLOOKUP($D$3,$O$4:$W$13,5,FALSE),FALSE),"---")</f>
        <v>---</v>
      </c>
      <c r="O25" s="198" t="s">
        <v>288</v>
      </c>
      <c r="P25" s="194"/>
      <c r="Q25" s="193"/>
      <c r="R25" s="193"/>
      <c r="S25" s="193"/>
      <c r="T25" s="193"/>
      <c r="U25" s="193"/>
      <c r="V25" s="193"/>
      <c r="W25" s="193"/>
      <c r="X25" s="193"/>
      <c r="Y25" s="193"/>
      <c r="Z25" s="193"/>
      <c r="AA25" s="193"/>
      <c r="AB25" s="193"/>
      <c r="AC25" s="193"/>
      <c r="AD25" s="193"/>
      <c r="AE25" s="193"/>
      <c r="AF25" s="193"/>
      <c r="AG25" s="194"/>
      <c r="AH25" s="189"/>
    </row>
    <row r="26" spans="1:34" ht="18" x14ac:dyDescent="0.2">
      <c r="A26" s="2"/>
      <c r="B26" s="2"/>
      <c r="C26" s="2"/>
      <c r="D26" s="2"/>
      <c r="E26" s="223"/>
      <c r="F26" s="184"/>
      <c r="G26" s="192" t="s">
        <v>306</v>
      </c>
      <c r="H26" s="193" t="str">
        <f>IF($D$6="dwt",$D$12*1.55517384,"---")</f>
        <v>---</v>
      </c>
      <c r="I26" s="193" t="str">
        <f>IFERROR(VLOOKUP(H26,ASTM_dwt,VLOOKUP($D$3,$O$4:$W$13,6,FALSE),FALSE),"---")</f>
        <v>---</v>
      </c>
      <c r="J26" s="198" t="s">
        <v>288</v>
      </c>
      <c r="K26" s="194"/>
      <c r="L26" s="192" t="s">
        <v>306</v>
      </c>
      <c r="M26" s="193" t="str">
        <f>IF($D$6="dwt",$D$14*1.55517384,"---")</f>
        <v>---</v>
      </c>
      <c r="N26" s="193" t="str">
        <f>IFERROR(VLOOKUP(M26,ASTM_dwt,VLOOKUP($D$3,$O$4:$W$13,6,FALSE),FALSE),"---")</f>
        <v>---</v>
      </c>
      <c r="O26" s="198" t="s">
        <v>288</v>
      </c>
      <c r="P26" s="194"/>
      <c r="Q26" s="193"/>
      <c r="R26" s="193"/>
      <c r="S26" s="193"/>
      <c r="T26" s="193"/>
      <c r="U26" s="193"/>
      <c r="V26" s="193"/>
      <c r="W26" s="193"/>
      <c r="X26" s="193"/>
      <c r="Y26" s="193"/>
      <c r="Z26" s="193"/>
      <c r="AA26" s="193"/>
      <c r="AB26" s="193"/>
      <c r="AC26" s="193"/>
      <c r="AD26" s="193"/>
      <c r="AE26" s="193"/>
      <c r="AF26" s="193"/>
      <c r="AG26" s="194"/>
      <c r="AH26" s="189"/>
    </row>
    <row r="27" spans="1:34" ht="18" x14ac:dyDescent="0.2">
      <c r="A27" s="2"/>
      <c r="B27" s="2"/>
      <c r="C27" s="2"/>
      <c r="D27" s="2"/>
      <c r="E27" s="223"/>
      <c r="F27" s="184"/>
      <c r="G27" s="192" t="s">
        <v>309</v>
      </c>
      <c r="H27" s="193" t="str">
        <f>IF($D$6="gr",$D$12*0.06479891,"---")</f>
        <v>---</v>
      </c>
      <c r="I27" s="193" t="str">
        <f>IFERROR(VLOOKUP(H27,ASTM_gr,VLOOKUP($D$3,$O$4:$W$13,7,FALSE),FALSE),"---")</f>
        <v>---</v>
      </c>
      <c r="J27" s="193" t="str">
        <f>IFERROR(VLOOKUP(H27,NIST_gr,VLOOKUP($D$4,$AB$4:$AG$12,6,FALSE),FALSE),"---")</f>
        <v>---</v>
      </c>
      <c r="K27" s="194"/>
      <c r="L27" s="192" t="s">
        <v>309</v>
      </c>
      <c r="M27" s="193" t="str">
        <f>IF($D$6="gr",$D$14*0.06479891,"---")</f>
        <v>---</v>
      </c>
      <c r="N27" s="193" t="str">
        <f>IFERROR(VLOOKUP(M27,ASTM_gr,VLOOKUP($D$3,$O$4:$W$13,7,FALSE),FALSE),"---")</f>
        <v>---</v>
      </c>
      <c r="O27" s="193" t="str">
        <f>IFERROR(VLOOKUP(M27,NIST_gr,VLOOKUP($D$4,$AB$4:$AG$12,6,FALSE),FALSE),"---")</f>
        <v>---</v>
      </c>
      <c r="P27" s="194"/>
      <c r="Q27" s="193"/>
      <c r="R27" s="193"/>
      <c r="S27" s="193"/>
      <c r="T27" s="193"/>
      <c r="U27" s="193"/>
      <c r="V27" s="193"/>
      <c r="W27" s="193"/>
      <c r="X27" s="193"/>
      <c r="Y27" s="193"/>
      <c r="Z27" s="193"/>
      <c r="AA27" s="193"/>
      <c r="AB27" s="193"/>
      <c r="AC27" s="193"/>
      <c r="AD27" s="193"/>
      <c r="AE27" s="193"/>
      <c r="AF27" s="193"/>
      <c r="AG27" s="194"/>
      <c r="AH27" s="189"/>
    </row>
    <row r="28" spans="1:34" ht="18" x14ac:dyDescent="0.2">
      <c r="A28" s="2"/>
      <c r="B28" s="2"/>
      <c r="C28" s="2"/>
      <c r="D28" s="2"/>
      <c r="E28" s="223"/>
      <c r="F28" s="184"/>
      <c r="G28" s="192" t="s">
        <v>311</v>
      </c>
      <c r="H28" s="193" t="str">
        <f>IF($D$6="carat",$D$12*0.2,"---")</f>
        <v>---</v>
      </c>
      <c r="I28" s="193" t="str">
        <f>IFERROR(VLOOKUP(H28,ASTM_carat,VLOOKUP($D$3,$O$4:$W$13,8,FALSE),FALSE),"---")</f>
        <v>---</v>
      </c>
      <c r="J28" s="198" t="s">
        <v>288</v>
      </c>
      <c r="K28" s="194"/>
      <c r="L28" s="192" t="s">
        <v>311</v>
      </c>
      <c r="M28" s="193" t="str">
        <f>IF($D$6="carat",$D$14*0.2,"---")</f>
        <v>---</v>
      </c>
      <c r="N28" s="193" t="str">
        <f>IFERROR(VLOOKUP(M28,ASTM_carat,VLOOKUP($D$3,$O$4:$W$13,8,FALSE),FALSE),"---")</f>
        <v>---</v>
      </c>
      <c r="O28" s="198" t="s">
        <v>288</v>
      </c>
      <c r="P28" s="194"/>
      <c r="Q28" s="193"/>
      <c r="R28" s="193"/>
      <c r="S28" s="193"/>
      <c r="T28" s="193"/>
      <c r="U28" s="193"/>
      <c r="V28" s="193"/>
      <c r="W28" s="193"/>
      <c r="X28" s="193"/>
      <c r="Y28" s="193"/>
      <c r="Z28" s="193"/>
      <c r="AA28" s="193"/>
      <c r="AB28" s="193"/>
      <c r="AC28" s="193"/>
      <c r="AD28" s="193"/>
      <c r="AE28" s="193"/>
      <c r="AF28" s="193"/>
      <c r="AG28" s="194"/>
      <c r="AH28" s="189"/>
    </row>
    <row r="29" spans="1:34" ht="18" x14ac:dyDescent="0.2">
      <c r="F29" s="184"/>
      <c r="G29" s="192" t="s">
        <v>314</v>
      </c>
      <c r="H29" s="193" t="str">
        <f>IF($D$6="oz ap",$D$12*31.1034768,"---")</f>
        <v>---</v>
      </c>
      <c r="I29" s="193" t="str">
        <f>IFERROR(VLOOKUP(H29,ASTM_ap,VLOOKUP($D$3,$O$4:$W$13,9,FALSE),FALSE),"---")</f>
        <v>---</v>
      </c>
      <c r="J29" s="193" t="str">
        <f>IFERROR(VLOOKUP(H29,NIST_ap,VLOOKUP($D$4,$AB$4:$AG$12,5,FALSE),FALSE),"---")</f>
        <v>---</v>
      </c>
      <c r="K29" s="194"/>
      <c r="L29" s="192" t="s">
        <v>314</v>
      </c>
      <c r="M29" s="193" t="str">
        <f>IF($D$6="oz ap",$D$14*31.1034768,"---")</f>
        <v>---</v>
      </c>
      <c r="N29" s="193" t="str">
        <f>IFERROR(VLOOKUP(M29,ASTM_ap,VLOOKUP($D$3,$O$4:$W$13,9,FALSE),FALSE),"---")</f>
        <v>---</v>
      </c>
      <c r="O29" s="193" t="str">
        <f>IFERROR(VLOOKUP(M29,NIST_ap,VLOOKUP($D$4,$AB$4:$AG$12,5,FALSE),FALSE),"---")</f>
        <v>---</v>
      </c>
      <c r="P29" s="194"/>
      <c r="Q29" s="193"/>
      <c r="R29" s="193"/>
      <c r="S29" s="193"/>
      <c r="T29" s="193"/>
      <c r="U29" s="193"/>
      <c r="V29" s="193"/>
      <c r="W29" s="193"/>
      <c r="X29" s="193"/>
      <c r="Y29" s="193"/>
      <c r="Z29" s="193"/>
      <c r="AA29" s="193"/>
      <c r="AB29" s="193"/>
      <c r="AC29" s="193"/>
      <c r="AD29" s="193"/>
      <c r="AE29" s="193"/>
      <c r="AF29" s="193"/>
      <c r="AG29" s="194"/>
      <c r="AH29" s="189"/>
    </row>
    <row r="30" spans="1:34" ht="18" x14ac:dyDescent="0.2">
      <c r="F30" s="184"/>
      <c r="G30" s="192" t="s">
        <v>315</v>
      </c>
      <c r="H30" s="193" t="str">
        <f>IF($D$6="dr ap",$D$12*3.8879346,"---")</f>
        <v>---</v>
      </c>
      <c r="I30" s="193" t="str">
        <f>IFERROR(VLOOKUP(H30,ASTM_ap,VLOOKUP($D$3,$O$4:$W$13,9,FALSE),FALSE),"---")</f>
        <v>---</v>
      </c>
      <c r="J30" s="193" t="str">
        <f>IFERROR(VLOOKUP(H30,NIST_ap,VLOOKUP($D$4,$AB$4:$AG$12,5,FALSE),FALSE),"---")</f>
        <v>---</v>
      </c>
      <c r="K30" s="194"/>
      <c r="L30" s="192" t="s">
        <v>315</v>
      </c>
      <c r="M30" s="193" t="str">
        <f>IF($D$6="dr ap",$D$14*3.8879346,"---")</f>
        <v>---</v>
      </c>
      <c r="N30" s="193" t="str">
        <f>IFERROR(VLOOKUP(M30,ASTM_ap,VLOOKUP($D$3,$O$4:$W$13,9,FALSE),FALSE),"---")</f>
        <v>---</v>
      </c>
      <c r="O30" s="193" t="str">
        <f>IFERROR(VLOOKUP(M30,NIST_ap,VLOOKUP($D$4,$AB$4:$AG$12,5,FALSE),FALSE),"---")</f>
        <v>---</v>
      </c>
      <c r="P30" s="194"/>
      <c r="Q30" s="193"/>
      <c r="R30" s="193"/>
      <c r="S30" s="193"/>
      <c r="T30" s="193"/>
      <c r="U30" s="193"/>
      <c r="V30" s="193"/>
      <c r="W30" s="193"/>
      <c r="X30" s="193"/>
      <c r="Y30" s="193"/>
      <c r="Z30" s="193"/>
      <c r="AA30" s="193"/>
      <c r="AB30" s="193"/>
      <c r="AC30" s="193"/>
      <c r="AD30" s="193"/>
      <c r="AE30" s="193"/>
      <c r="AF30" s="193"/>
      <c r="AG30" s="194"/>
      <c r="AH30" s="189"/>
    </row>
    <row r="31" spans="1:34" ht="18" x14ac:dyDescent="0.2">
      <c r="F31" s="184"/>
      <c r="G31" s="217" t="s">
        <v>317</v>
      </c>
      <c r="H31" s="215" t="str">
        <f>IF($D$6="s ap",$D$12*1.2959782,"---")</f>
        <v>---</v>
      </c>
      <c r="I31" s="215" t="str">
        <f>IFERROR(VLOOKUP(H31,ASTM_ap,VLOOKUP($D$3,$O$4:$W$13,9,FALSE),FALSE),"---")</f>
        <v>---</v>
      </c>
      <c r="J31" s="215" t="str">
        <f>IFERROR(VLOOKUP(H31,NIST_ap,VLOOKUP($D$4,$AB$4:$AG$12,5,FALSE),FALSE),"---")</f>
        <v>---</v>
      </c>
      <c r="K31" s="216"/>
      <c r="L31" s="217" t="s">
        <v>317</v>
      </c>
      <c r="M31" s="215" t="str">
        <f>IF($D$6="s ap",$D$14*1.2959782,"---")</f>
        <v>---</v>
      </c>
      <c r="N31" s="215" t="str">
        <f>IFERROR(VLOOKUP(M31,ASTM_ap,VLOOKUP($D$3,$O$4:$W$13,9,FALSE),FALSE),"---")</f>
        <v>---</v>
      </c>
      <c r="O31" s="215" t="str">
        <f>IFERROR(VLOOKUP(M31,NIST_ap,VLOOKUP($D$4,$AB$4:$AG$12,5,FALSE),FALSE),"---")</f>
        <v>---</v>
      </c>
      <c r="P31" s="216"/>
      <c r="Q31" s="215"/>
      <c r="R31" s="215"/>
      <c r="S31" s="215"/>
      <c r="T31" s="215"/>
      <c r="U31" s="215"/>
      <c r="V31" s="215"/>
      <c r="W31" s="215"/>
      <c r="X31" s="215"/>
      <c r="Y31" s="215"/>
      <c r="Z31" s="215"/>
      <c r="AA31" s="215"/>
      <c r="AB31" s="215"/>
      <c r="AC31" s="215"/>
      <c r="AD31" s="215"/>
      <c r="AE31" s="215"/>
      <c r="AF31" s="215"/>
      <c r="AG31" s="216"/>
      <c r="AH31" s="189"/>
    </row>
    <row r="32" spans="1:34" ht="19.7" customHeight="1" x14ac:dyDescent="0.2">
      <c r="F32" s="251" t="s">
        <v>260</v>
      </c>
      <c r="G32" s="251"/>
      <c r="H32" s="251"/>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52" t="s">
        <v>260</v>
      </c>
      <c r="AG32" s="252"/>
      <c r="AH32" s="252"/>
    </row>
    <row r="33" ht="18" x14ac:dyDescent="0.2"/>
  </sheetData>
  <sheetProtection password="83AF" sheet="1" objects="1" scenarios="1"/>
  <mergeCells count="24">
    <mergeCell ref="A20:B22"/>
    <mergeCell ref="C20:D22"/>
    <mergeCell ref="F32:H32"/>
    <mergeCell ref="AF32:AH32"/>
    <mergeCell ref="A16:C16"/>
    <mergeCell ref="G16:K16"/>
    <mergeCell ref="A17:C17"/>
    <mergeCell ref="A18:C18"/>
    <mergeCell ref="A19:B19"/>
    <mergeCell ref="A11:C11"/>
    <mergeCell ref="A12:C12"/>
    <mergeCell ref="A13:C13"/>
    <mergeCell ref="A14:C14"/>
    <mergeCell ref="A15:C15"/>
    <mergeCell ref="A4:C4"/>
    <mergeCell ref="A5:C5"/>
    <mergeCell ref="A6:C6"/>
    <mergeCell ref="A9:D9"/>
    <mergeCell ref="A10:D10"/>
    <mergeCell ref="A1:D1"/>
    <mergeCell ref="F1:H1"/>
    <mergeCell ref="AF1:AH1"/>
    <mergeCell ref="A2:C2"/>
    <mergeCell ref="A3:C3"/>
  </mergeCells>
  <conditionalFormatting sqref="D12 D14">
    <cfRule type="notContainsBlanks" dxfId="3" priority="1" stopIfTrue="1">
      <formula>LEN(TRIM(D12))&gt;0</formula>
    </cfRule>
    <cfRule type="containsBlanks" dxfId="2" priority="2" stopIfTrue="1">
      <formula>LEN(TRIM(D12))=0</formula>
    </cfRule>
  </conditionalFormatting>
  <printOptions horizontalCentered="1"/>
  <pageMargins left="0.7" right="0.7" top="0.75" bottom="0.75" header="0.3" footer="0.3"/>
  <pageSetup orientation="landscape" r:id="rId1"/>
  <headerFooter>
    <oddHeader>&amp;L&amp;"Trebuchet MS,Regular"&amp;12Advanced Mass Control Chart&amp;R&amp;"Trebuchet MS,Regular"&amp;12WAQCF-021, Rev. 01, 10/9/2015</oddHeader>
    <oddFooter>&amp;L&amp;"Trebuchet MS,Regular"&amp;12&amp;F&amp;R&amp;"Trebuchet MS,Regular"&amp;12&amp;A Worksheet Page &amp;P of &amp;N</oddFooter>
  </headerFooter>
  <drawing r:id="rId2"/>
  <legacyDrawing r:id="rId3"/>
  <oleObjects>
    <mc:AlternateContent xmlns:mc="http://schemas.openxmlformats.org/markup-compatibility/2006">
      <mc:Choice Requires="x14">
        <oleObject progId="Equation.3" shapeId="13313" r:id="rId4">
          <objectPr defaultSize="0" autoPict="0" r:id="rId5">
            <anchor moveWithCells="1">
              <from>
                <xdr:col>1</xdr:col>
                <xdr:colOff>647700</xdr:colOff>
                <xdr:row>19</xdr:row>
                <xdr:rowOff>76200</xdr:rowOff>
              </from>
              <to>
                <xdr:col>3</xdr:col>
                <xdr:colOff>238125</xdr:colOff>
                <xdr:row>21</xdr:row>
                <xdr:rowOff>171450</xdr:rowOff>
              </to>
            </anchor>
          </objectPr>
        </oleObject>
      </mc:Choice>
      <mc:Fallback>
        <oleObject progId="Equation.3" shapeId="1331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D4"/>
  <sheetViews>
    <sheetView showGridLines="0" workbookViewId="0">
      <pane ySplit="1" topLeftCell="A2" activePane="bottomLeft" state="frozenSplit"/>
      <selection pane="bottomLeft" activeCell="A2" sqref="A2"/>
    </sheetView>
  </sheetViews>
  <sheetFormatPr defaultRowHeight="16.5" x14ac:dyDescent="0.3"/>
  <cols>
    <col min="1" max="1" width="23.42578125" style="147" customWidth="1"/>
    <col min="2" max="2" width="10.5703125" style="147" customWidth="1"/>
    <col min="3" max="3" width="13.140625" style="147" customWidth="1"/>
    <col min="4" max="4" width="10" style="147" customWidth="1"/>
    <col min="5" max="5" width="9.140625" style="147"/>
    <col min="6" max="6" width="11.140625" style="147" customWidth="1"/>
    <col min="7" max="7" width="8.42578125" style="147" customWidth="1"/>
    <col min="8" max="8" width="12.7109375" style="147" customWidth="1"/>
    <col min="9" max="9" width="11" style="147" customWidth="1"/>
    <col min="10" max="10" width="10.7109375" style="147" customWidth="1"/>
    <col min="11" max="11" width="11.7109375" style="147" customWidth="1"/>
    <col min="12" max="13" width="12.7109375" style="147" customWidth="1"/>
    <col min="14" max="14" width="10.7109375" style="147" customWidth="1"/>
    <col min="15" max="15" width="7.42578125" style="147" customWidth="1"/>
    <col min="16" max="16" width="8.5703125" style="147" customWidth="1"/>
    <col min="17" max="27" width="11.7109375" style="147" customWidth="1"/>
    <col min="28" max="28" width="9.140625" style="147"/>
    <col min="29" max="29" width="14" style="147" customWidth="1"/>
    <col min="30" max="30" width="14.140625" style="147" customWidth="1"/>
    <col min="31" max="16384" width="9.140625" style="147"/>
  </cols>
  <sheetData>
    <row r="1" spans="1:30" s="131" customFormat="1" ht="51" x14ac:dyDescent="0.4">
      <c r="A1" s="127" t="s">
        <v>3</v>
      </c>
      <c r="B1" s="128" t="s">
        <v>16</v>
      </c>
      <c r="C1" s="128" t="s">
        <v>1</v>
      </c>
      <c r="D1" s="128" t="s">
        <v>15</v>
      </c>
      <c r="E1" s="128" t="s">
        <v>4</v>
      </c>
      <c r="F1" s="128" t="s">
        <v>5</v>
      </c>
      <c r="G1" s="128" t="s">
        <v>6</v>
      </c>
      <c r="H1" s="129" t="s">
        <v>149</v>
      </c>
      <c r="I1" s="128" t="s">
        <v>7</v>
      </c>
      <c r="J1" s="128" t="s">
        <v>8</v>
      </c>
      <c r="K1" s="128" t="s">
        <v>9</v>
      </c>
      <c r="L1" s="128" t="s">
        <v>10</v>
      </c>
      <c r="M1" s="128" t="s">
        <v>11</v>
      </c>
      <c r="N1" s="128" t="s">
        <v>12</v>
      </c>
      <c r="O1" s="128" t="s">
        <v>13</v>
      </c>
      <c r="P1" s="130" t="s">
        <v>14</v>
      </c>
      <c r="Q1" s="162" t="s">
        <v>229</v>
      </c>
      <c r="R1" s="162" t="s">
        <v>221</v>
      </c>
      <c r="S1" s="163" t="s">
        <v>150</v>
      </c>
      <c r="T1" s="160" t="s">
        <v>151</v>
      </c>
      <c r="U1" s="160" t="s">
        <v>2</v>
      </c>
      <c r="V1" s="160" t="s">
        <v>152</v>
      </c>
      <c r="W1" s="157" t="s">
        <v>21</v>
      </c>
      <c r="X1" s="157" t="s">
        <v>20</v>
      </c>
      <c r="Y1" s="157" t="s">
        <v>22</v>
      </c>
      <c r="Z1" s="157" t="s">
        <v>23</v>
      </c>
      <c r="AA1" s="157" t="s">
        <v>154</v>
      </c>
      <c r="AB1" s="157" t="s">
        <v>153</v>
      </c>
      <c r="AC1" s="155" t="str">
        <f>"Mean + "&amp;100*'Data Entry'!I10&amp;" % of MPE"</f>
        <v>Mean + 0 % of MPE</v>
      </c>
      <c r="AD1" s="155" t="str">
        <f>"Mean - "&amp;100*'Data Entry'!I10&amp;" % of MPE"</f>
        <v>Mean - 0 % of MPE</v>
      </c>
    </row>
    <row r="2" spans="1:30" s="145" customFormat="1" x14ac:dyDescent="0.3">
      <c r="A2" s="132"/>
      <c r="B2" s="133"/>
      <c r="C2" s="134"/>
      <c r="D2" s="133"/>
      <c r="E2" s="133"/>
      <c r="F2" s="133"/>
      <c r="G2" s="133"/>
      <c r="H2" s="133"/>
      <c r="I2" s="133"/>
      <c r="J2" s="133"/>
      <c r="K2" s="135"/>
      <c r="L2" s="135"/>
      <c r="M2" s="135"/>
      <c r="N2" s="133"/>
      <c r="O2" s="136"/>
      <c r="P2" s="136"/>
      <c r="Q2" s="159" t="e">
        <f>'Data Entry'!$H$3</f>
        <v>#DIV/0!</v>
      </c>
      <c r="R2" s="159" t="e">
        <f>VLOOKUP(J2,Design.Table,2,FALSE)</f>
        <v>#N/A</v>
      </c>
      <c r="S2" s="159" t="e">
        <f>'Data Entry'!$H$1</f>
        <v>#N/A</v>
      </c>
      <c r="T2" s="161" t="str">
        <f>IF(ISBLANK(I2),"",I2*H2^2)</f>
        <v/>
      </c>
      <c r="U2" s="161" t="str">
        <f>IF(ISBLANK(I2),"",SUM($I$2:I2))</f>
        <v/>
      </c>
      <c r="V2" s="161" t="str">
        <f>IF(ISBLANK(I2),"",SQRT(SUM($T$2:T2)/SUM($I$2:I2)))</f>
        <v/>
      </c>
      <c r="W2" s="158" t="e">
        <f>IF(ISBLANK(Q2),#N/A,Q2+'Data Entry'!$H$2*2)</f>
        <v>#DIV/0!</v>
      </c>
      <c r="X2" s="158" t="e">
        <f>IF(ISBLANK(Q2),#N/A,Q2-'Data Entry'!$H$2*2)</f>
        <v>#DIV/0!</v>
      </c>
      <c r="Y2" s="158" t="e">
        <f>IF(ISBLANK(Q2),#N/A,Q2+'Data Entry'!$H$2*3)</f>
        <v>#DIV/0!</v>
      </c>
      <c r="Z2" s="158" t="e">
        <f>IF(ISBLANK(Q2),#N/A,Q2-'Data Entry'!$H$2*3)</f>
        <v>#DIV/0!</v>
      </c>
      <c r="AA2" s="158">
        <f>IF(ISBLANK(Q2),#N/A,'Data Entry'!$C$4)</f>
        <v>0</v>
      </c>
      <c r="AB2" s="158" t="e">
        <f>IF(ISBLANK(P2),#N/A,AVERAGE($P:$P))</f>
        <v>#N/A</v>
      </c>
      <c r="AC2" s="156" t="e">
        <f>'Data Entry'!$H$3+'Data Entry'!$G$10*'Data Entry'!$I$10</f>
        <v>#DIV/0!</v>
      </c>
      <c r="AD2" s="156" t="e">
        <f>'Data Entry'!$H$3-'Data Entry'!$G$10*'Data Entry'!$I$10</f>
        <v>#DIV/0!</v>
      </c>
    </row>
    <row r="3" spans="1:30" s="145" customFormat="1" x14ac:dyDescent="0.3">
      <c r="A3" s="132"/>
      <c r="B3" s="133"/>
      <c r="C3" s="134"/>
      <c r="D3" s="133"/>
      <c r="E3" s="133"/>
      <c r="F3" s="133"/>
      <c r="G3" s="133"/>
      <c r="H3" s="133"/>
      <c r="I3" s="133"/>
      <c r="J3" s="133"/>
      <c r="K3" s="135"/>
      <c r="L3" s="135"/>
      <c r="M3" s="135"/>
      <c r="N3" s="133"/>
      <c r="O3" s="136"/>
      <c r="P3" s="136"/>
      <c r="Q3" s="159"/>
      <c r="R3" s="159"/>
      <c r="S3" s="159"/>
      <c r="T3" s="161"/>
      <c r="U3" s="161"/>
      <c r="V3" s="161"/>
      <c r="W3" s="158"/>
      <c r="X3" s="158"/>
      <c r="Y3" s="158"/>
      <c r="Z3" s="158"/>
      <c r="AA3" s="158"/>
      <c r="AB3" s="158"/>
      <c r="AC3" s="156"/>
      <c r="AD3" s="156"/>
    </row>
    <row r="4" spans="1:30" s="145" customFormat="1" x14ac:dyDescent="0.3">
      <c r="A4" s="126" t="s">
        <v>46</v>
      </c>
      <c r="B4" s="133"/>
      <c r="C4" s="134"/>
      <c r="D4" s="133"/>
      <c r="E4" s="133"/>
      <c r="F4" s="133"/>
      <c r="G4" s="133"/>
      <c r="H4" s="133"/>
      <c r="I4" s="133"/>
      <c r="J4" s="133"/>
      <c r="K4" s="140"/>
      <c r="L4" s="140"/>
      <c r="M4" s="140"/>
      <c r="N4" s="140"/>
      <c r="O4" s="141"/>
      <c r="P4" s="141"/>
      <c r="Q4" s="142"/>
      <c r="R4" s="142"/>
      <c r="S4" s="142"/>
      <c r="T4" s="142"/>
      <c r="U4" s="142"/>
      <c r="V4" s="142"/>
      <c r="W4" s="142"/>
      <c r="X4" s="142"/>
      <c r="Y4" s="142"/>
      <c r="Z4" s="142"/>
      <c r="AA4" s="142"/>
      <c r="AB4" s="142"/>
      <c r="AC4" s="146"/>
      <c r="AD4" s="146"/>
    </row>
  </sheetData>
  <sheetProtection password="83AF" sheet="1" objects="1" scenarios="1" formatCells="0" formatColumns="0" formatRows="0" insertColumns="0" insertRows="0" deleteColumns="0" deleteRows="0"/>
  <phoneticPr fontId="0" type="noConversion"/>
  <conditionalFormatting sqref="A2:P3">
    <cfRule type="notContainsBlanks" dxfId="1" priority="3" stopIfTrue="1">
      <formula>LEN(TRIM(A2))&gt;0</formula>
    </cfRule>
    <cfRule type="containsBlanks" dxfId="0" priority="6" stopIfTrue="1">
      <formula>LEN(TRIM(A2))=0</formula>
    </cfRule>
  </conditionalFormatting>
  <pageMargins left="0.75" right="0.75" top="1" bottom="1" header="0.5" footer="0.5"/>
  <pageSetup scale="67" orientation="landscape" r:id="rId1"/>
  <headerFooter alignWithMargins="0">
    <oddHeader>&amp;L&amp;"Trebuchet MS,Regular"&amp;12Advance Mass Control Chart&amp;R&amp;"Trebuchet MS,Regular"&amp;12WAQCF-021, Rev. 01, 10/9/2015</oddHeader>
    <oddFooter>&amp;L&amp;"Trebuchet MS,Regular"&amp;12&amp;F&amp;R&amp;"Trebuchet MS,Regular"&amp;12&amp;A Worksheet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7</vt:i4>
      </vt:variant>
      <vt:variant>
        <vt:lpstr>Named Ranges</vt:lpstr>
      </vt:variant>
      <vt:variant>
        <vt:i4>12</vt:i4>
      </vt:variant>
    </vt:vector>
  </HeadingPairs>
  <TitlesOfParts>
    <vt:vector size="25" baseType="lpstr">
      <vt:lpstr>Software Technical Assessment</vt:lpstr>
      <vt:lpstr>Documentation</vt:lpstr>
      <vt:lpstr>Instructions</vt:lpstr>
      <vt:lpstr>Data Entry</vt:lpstr>
      <vt:lpstr>MPE Finder</vt:lpstr>
      <vt:lpstr>LAP Data Entry</vt:lpstr>
      <vt:lpstr>s(t) Chart</vt:lpstr>
      <vt:lpstr>s(w) Chart</vt:lpstr>
      <vt:lpstr>F Ratio Chart</vt:lpstr>
      <vt:lpstr>T Value Chart</vt:lpstr>
      <vt:lpstr>Chk vs Humidity</vt:lpstr>
      <vt:lpstr>Chk vs Pressure</vt:lpstr>
      <vt:lpstr>Chk vs Temperature</vt:lpstr>
      <vt:lpstr>ChkID</vt:lpstr>
      <vt:lpstr>Design.Table</vt:lpstr>
      <vt:lpstr>PooledSwTable</vt:lpstr>
      <vt:lpstr>'Data Entry'!Print_Area</vt:lpstr>
      <vt:lpstr>'LAP Data Entry'!Print_Area</vt:lpstr>
      <vt:lpstr>'MPE Finder'!Print_Area</vt:lpstr>
      <vt:lpstr>'Software Technical Assessment'!Print_Area</vt:lpstr>
      <vt:lpstr>'Data Entry'!Print_Titles</vt:lpstr>
      <vt:lpstr>'LAP Data Entry'!Print_Titles</vt:lpstr>
      <vt:lpstr>'Software Technical Assessment'!Print_Titles</vt:lpstr>
      <vt:lpstr>Spec</vt:lpstr>
      <vt:lpstr>Unit</vt:lpstr>
    </vt:vector>
  </TitlesOfParts>
  <Company>WSDA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Advanced Mass Control Charts</dc:title>
  <dc:subject>measurement assurance</dc:subject>
  <dc:creator>Dan Wright</dc:creator>
  <cp:keywords>advanced mass calibration, measurement assurance, control chart</cp:keywords>
  <dc:description>This file was created and is maintained by Dan Wright, in the State of Washington, Department of Agriculture, Weights and Measures Laboratory (WSDA)</dc:description>
  <cp:lastModifiedBy>Harris, Georgia L.</cp:lastModifiedBy>
  <cp:lastPrinted>2010-09-01T16:37:34Z</cp:lastPrinted>
  <dcterms:created xsi:type="dcterms:W3CDTF">2005-04-15T17:52:51Z</dcterms:created>
  <dcterms:modified xsi:type="dcterms:W3CDTF">2018-08-10T13:20:12Z</dcterms:modified>
  <cp:category>weighing design measurement assurance</cp:category>
  <cp:contentStatus>template</cp:contentStatus>
</cp:coreProperties>
</file>