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emf" ContentType="image/x-emf"/>
  <Override PartName="/xl/embeddings/oleObject3.bin" ContentType="application/vnd.openxmlformats-officedocument.oleObject"/>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5" yWindow="-15" windowWidth="12645" windowHeight="5625" tabRatio="968" activeTab="1"/>
  </bookViews>
  <sheets>
    <sheet name="Documentation" sheetId="12" r:id="rId1"/>
    <sheet name="Information" sheetId="22" r:id="rId2"/>
    <sheet name="Report Pages 1-3" sheetId="20" r:id="rId3"/>
    <sheet name="Report Pages 4-5" sheetId="13" r:id="rId4"/>
    <sheet name="Control Data" sheetId="21" r:id="rId5"/>
    <sheet name="LPG Prover Data Entry" sheetId="4" r:id="rId6"/>
    <sheet name="Calculations" sheetId="3" r:id="rId7"/>
    <sheet name="Pressure Corrections" sheetId="2" r:id="rId8"/>
    <sheet name="Water Compressability" sheetId="16" r:id="rId9"/>
    <sheet name="Uncertainty Analysis" sheetId="17" r:id="rId10"/>
    <sheet name="Tables &amp; Lists" sheetId="6" r:id="rId11"/>
  </sheets>
  <externalReferences>
    <externalReference r:id="rId12"/>
    <externalReference r:id="rId13"/>
    <externalReference r:id="rId14"/>
  </externalReferences>
  <definedNames>
    <definedName name="__123Graph_A" hidden="1">[1]H145LPG!$I$99:$I$118</definedName>
    <definedName name="__123Graph_B" hidden="1">[1]H145LPG!$J$99:$J$118</definedName>
    <definedName name="__123Graph_LBL_A" hidden="1">[1]H145LPG!$I$120:$I$120</definedName>
    <definedName name="__123Graph_LBL_B" hidden="1">[1]H145LPG!$J$120:$J$120</definedName>
    <definedName name="__123Graph_X" hidden="1">[1]H145LPG!$G$99:$G$118</definedName>
    <definedName name="_Fill" hidden="1">[1]H145LPG!$F$67:$F$73</definedName>
    <definedName name="_xlnm._FilterDatabase" localSheetId="0" hidden="1">Documentation!$A$2:$C$30</definedName>
    <definedName name="_xlnm._FilterDatabase" localSheetId="1" hidden="1">Information!$A$2:$B$8</definedName>
    <definedName name="_Table1_In1" localSheetId="1" hidden="1">#REF!</definedName>
    <definedName name="_Table1_In1" localSheetId="2" hidden="1">#REF!</definedName>
    <definedName name="_Table1_In1" hidden="1">#REF!</definedName>
    <definedName name="_Table1_Out" localSheetId="1" hidden="1">#REF!</definedName>
    <definedName name="_Table1_Out" localSheetId="2" hidden="1">#REF!</definedName>
    <definedName name="_Table1_Out" hidden="1">#REF!</definedName>
    <definedName name="_Table2_In1" localSheetId="2" hidden="1">'[2]2 Liter'!$B$33</definedName>
    <definedName name="_Table2_In1" localSheetId="3" hidden="1">'[3]2 Liter'!$B$33</definedName>
    <definedName name="_Table2_In1" hidden="1">'[3]2 Liter'!$B$33</definedName>
    <definedName name="_Table2_Out" localSheetId="2" hidden="1">'[2]2 Liter'!$B$33</definedName>
    <definedName name="_Table2_Out" localSheetId="3" hidden="1">'[3]2 Liter'!$B$33</definedName>
    <definedName name="_Table2_Out" hidden="1">'[3]2 Liter'!$B$33</definedName>
    <definedName name="_unc1">'LPG Prover Data Entry'!$I$35</definedName>
    <definedName name="_unc2">'LPG Prover Data Entry'!$I$36</definedName>
    <definedName name="_unc3">'LPG Prover Data Entry'!$I$37</definedName>
    <definedName name="_unc4">'LPG Prover Data Entry'!$I$38</definedName>
    <definedName name="a_1">'LPG Prover Data Entry'!$H$35</definedName>
    <definedName name="a_2">'LPG Prover Data Entry'!$H$36</definedName>
    <definedName name="a_3">'LPG Prover Data Entry'!$H$37</definedName>
    <definedName name="a_4">'LPG Prover Data Entry'!$H$38</definedName>
    <definedName name="Address_1">'LPG Prover Data Entry'!$C$5</definedName>
    <definedName name="AirTemp">'LPG Prover Data Entry'!$D$46</definedName>
    <definedName name="AirTemp_F">'LPG Prover Data Entry'!$D$99</definedName>
    <definedName name="answer.list">'Tables &amp; Lists'!$G$14:$G$15</definedName>
    <definedName name="AsFound">Calculations!$E$64</definedName>
    <definedName name="AsLeft">Calculations!$E$65</definedName>
    <definedName name="B">'LPG Prover Data Entry'!$I$13</definedName>
    <definedName name="Cal_Date">'LPG Prover Data Entry'!$C$20</definedName>
    <definedName name="CCE.Table">'Tables &amp; Lists'!$D$5:$E$7</definedName>
    <definedName name="Condition">'LPG Prover Data Entry'!$C$14</definedName>
    <definedName name="CustomerID">'LPG Prover Data Entry'!$J$4</definedName>
    <definedName name="d2.Table">Calculations!$A$77:$C$106</definedName>
    <definedName name="Description">'LPG Prover Data Entry'!$C$10</definedName>
    <definedName name="drops1">'LPG Prover Data Entry'!$D$35</definedName>
    <definedName name="drops2">'LPG Prover Data Entry'!$D$36</definedName>
    <definedName name="drops3">'LPG Prover Data Entry'!$D$37</definedName>
    <definedName name="drops4">'LPG Prover Data Entry'!$D$38</definedName>
    <definedName name="grads1">'LPG Prover Data Entry'!$G$35</definedName>
    <definedName name="grads2">'LPG Prover Data Entry'!$G$36</definedName>
    <definedName name="grads3">'LPG Prover Data Entry'!$G$37</definedName>
    <definedName name="grads4">'LPG Prover Data Entry'!$G$38</definedName>
    <definedName name="Humidity">'LPG Prover Data Entry'!$G$46</definedName>
    <definedName name="Humidity_F">'LPG Prover Data Entry'!$G$99</definedName>
    <definedName name="increment">'LPG Prover Data Entry'!$J$12</definedName>
    <definedName name="interval">'LPG Prover Data Entry'!$J$19</definedName>
    <definedName name="intervalQ">'LPG Prover Data Entry'!$F$19</definedName>
    <definedName name="k_1">'LPG Prover Data Entry'!$J$35</definedName>
    <definedName name="k_2">'LPG Prover Data Entry'!$J$36</definedName>
    <definedName name="k_3">'LPG Prover Data Entry'!$J$37</definedName>
    <definedName name="k_4">'LPG Prover Data Entry'!$J$38</definedName>
    <definedName name="Material">'LPG Prover Data Entry'!$C$13</definedName>
    <definedName name="Material.list">'Tables &amp; Lists'!$D$5:$D$7</definedName>
    <definedName name="MFG">'LPG Prover Data Entry'!$C$11</definedName>
    <definedName name="mmHg">'LPG Prover Data Entry'!$J$16</definedName>
    <definedName name="Nom_Val">'LPG Prover Data Entry'!$J$11</definedName>
    <definedName name="NomVal.list">'Tables &amp; Lists'!$G$17:$G$18</definedName>
    <definedName name="NomValUnit">'LPG Prover Data Entry'!$G$11</definedName>
    <definedName name="NVLAP">'LPG Prover Data Entry'!$I$18</definedName>
    <definedName name="PO.No">'LPG Prover Data Entry'!$H$5</definedName>
    <definedName name="POC.Name">'LPG Prover Data Entry'!$H$6</definedName>
    <definedName name="POC.Phone">'LPG Prover Data Entry'!$H$7</definedName>
    <definedName name="PooledSD">'LPG Prover Data Entry'!$I$17</definedName>
    <definedName name="_xlnm.Print_Area" localSheetId="6">Calculations!$A$1:$J$67</definedName>
    <definedName name="_xlnm.Print_Area" localSheetId="5">'LPG Prover Data Entry'!$A$1:$J$99</definedName>
    <definedName name="_xlnm.Print_Area" localSheetId="2">'Report Pages 1-3'!$A$1:$G$87</definedName>
    <definedName name="_xlnm.Print_Area" localSheetId="8">'Water Compressability'!$A$1:$E$61</definedName>
    <definedName name="_xlnm.Print_Titles" localSheetId="6">Calculations!$1:$2</definedName>
    <definedName name="_xlnm.Print_Titles" localSheetId="0">Documentation!$1:$2</definedName>
    <definedName name="_xlnm.Print_Titles" localSheetId="1">Information!$6:$7</definedName>
    <definedName name="_xlnm.Print_Titles" localSheetId="5">'LPG Prover Data Entry'!$1:$2</definedName>
    <definedName name="_xlnm.Print_Titles" localSheetId="3">'Report Pages 4-5'!$1:$2</definedName>
    <definedName name="_xlnm.Print_Titles" localSheetId="10">'Tables &amp; Lists'!$1:$2</definedName>
    <definedName name="_xlnm.Print_Titles" localSheetId="8">'Water Compressability'!$1:$2</definedName>
    <definedName name="ProverTempCorr">'LPG Prover Data Entry'!$E$43</definedName>
    <definedName name="Range.Unit">'LPG Prover Data Entry'!$A$17</definedName>
    <definedName name="RangeMean.list">'Tables &amp; Lists'!$G$9:$G$12</definedName>
    <definedName name="RefT">'LPG Prover Data Entry'!$J$15</definedName>
    <definedName name="RefTemp.list">'Tables &amp; Lists'!$G$20:$G$21</definedName>
    <definedName name="RefTempUnit">'LPG Prover Data Entry'!$A$15</definedName>
    <definedName name="ReportedUnc">'Uncertainty Analysis'!$F$91</definedName>
    <definedName name="Rmean">'LPG Prover Data Entry'!$I$17</definedName>
    <definedName name="Rnd.Factor">Calculations!$E$61</definedName>
    <definedName name="Rnd.Table">'Tables &amp; Lists'!$A$4:$B$32</definedName>
    <definedName name="RptNo">'LPG Prover Data Entry'!$H$1</definedName>
    <definedName name="Scale.list">'Tables &amp; Lists'!$G$4:$G$7</definedName>
    <definedName name="Scale.Unit">'LPG Prover Data Entry'!$G$12</definedName>
    <definedName name="SealNoBottom">'LPG Prover Data Entry'!$I$96</definedName>
    <definedName name="SealNoTop">'LPG Prover Data Entry'!$D$96</definedName>
    <definedName name="SN">'LPG Prover Data Entry'!$C$12</definedName>
    <definedName name="Standards.Table">'LPG Prover Data Entry'!$A$34:$J$38</definedName>
    <definedName name="StdTempCorr">'LPG Prover Data Entry'!$E$42</definedName>
    <definedName name="t_1">'LPG Prover Data Entry'!$E$73</definedName>
    <definedName name="t_2">'LPG Prover Data Entry'!$J$73</definedName>
    <definedName name="Tech">'LPG Prover Data Entry'!$F$20</definedName>
    <definedName name="Tolerance">Calculations!$E$63</definedName>
    <definedName name="U60.1">Calculations!$E$21</definedName>
    <definedName name="U60.2">Calculations!$J$21</definedName>
    <definedName name="Unc">Calculations!$E$66</definedName>
    <definedName name="V_1">'LPG Prover Data Entry'!$E$35</definedName>
    <definedName name="V_2">'LPG Prover Data Entry'!$E$36</definedName>
    <definedName name="V_3">'LPG Prover Data Entry'!$E$37</definedName>
    <definedName name="V_4">'LPG Prover Data Entry'!$E$38</definedName>
    <definedName name="WODate">'LPG Prover Data Entry'!$I$10</definedName>
    <definedName name="Z60.1">Calculations!$E$27</definedName>
    <definedName name="Z60.2">Calculations!$E$28</definedName>
  </definedNames>
  <calcPr calcId="125725" fullCalcOnLoad="1"/>
</workbook>
</file>

<file path=xl/calcChain.xml><?xml version="1.0" encoding="utf-8"?>
<calcChain xmlns="http://schemas.openxmlformats.org/spreadsheetml/2006/main">
  <c r="B46" i="20"/>
  <c r="H82" i="4"/>
  <c r="I82"/>
  <c r="A2" i="21"/>
  <c r="J2"/>
  <c r="G24" i="17"/>
  <c r="F37"/>
  <c r="J37" s="1"/>
  <c r="F65" i="20"/>
  <c r="C65"/>
  <c r="G64"/>
  <c r="D64"/>
  <c r="A64"/>
  <c r="F63"/>
  <c r="C63"/>
  <c r="G62"/>
  <c r="D62"/>
  <c r="A62"/>
  <c r="F61"/>
  <c r="C61"/>
  <c r="G60"/>
  <c r="D60"/>
  <c r="A60"/>
  <c r="F59"/>
  <c r="C59"/>
  <c r="G58"/>
  <c r="D58"/>
  <c r="A58"/>
  <c r="D21"/>
  <c r="D17"/>
  <c r="D15"/>
  <c r="G65"/>
  <c r="D65"/>
  <c r="A65"/>
  <c r="F64"/>
  <c r="C64"/>
  <c r="G63"/>
  <c r="D63"/>
  <c r="A63"/>
  <c r="F62"/>
  <c r="C62"/>
  <c r="G61"/>
  <c r="D61"/>
  <c r="A61"/>
  <c r="F60"/>
  <c r="C60"/>
  <c r="G59"/>
  <c r="D59"/>
  <c r="A59"/>
  <c r="F58"/>
  <c r="C58"/>
  <c r="A26" i="17"/>
  <c r="D39" s="1"/>
  <c r="B55" s="1"/>
  <c r="G32"/>
  <c r="A17" i="4"/>
  <c r="G54" i="3"/>
  <c r="D6"/>
  <c r="A30" i="17"/>
  <c r="C6" i="3"/>
  <c r="A28" i="17"/>
  <c r="D41" s="1"/>
  <c r="B57" s="1"/>
  <c r="B6" i="3"/>
  <c r="C51" i="4"/>
  <c r="A24" i="17" s="1"/>
  <c r="D37" s="1"/>
  <c r="B53" s="1"/>
  <c r="E6" i="3"/>
  <c r="D7"/>
  <c r="C7"/>
  <c r="B7"/>
  <c r="C52" i="4"/>
  <c r="E7" i="3"/>
  <c r="D8"/>
  <c r="C8"/>
  <c r="B8"/>
  <c r="C53" i="4"/>
  <c r="E8" i="3"/>
  <c r="E9"/>
  <c r="E10"/>
  <c r="E11"/>
  <c r="E12"/>
  <c r="E13"/>
  <c r="E14"/>
  <c r="E15"/>
  <c r="E16"/>
  <c r="E17"/>
  <c r="E18"/>
  <c r="E19"/>
  <c r="E20"/>
  <c r="E73" i="4"/>
  <c r="E21" i="3"/>
  <c r="E27" s="1"/>
  <c r="E29" s="1"/>
  <c r="D23"/>
  <c r="A31" i="17" s="1"/>
  <c r="I13" i="4"/>
  <c r="A27" i="17" s="1"/>
  <c r="D40" s="1"/>
  <c r="B56" s="1"/>
  <c r="I6" i="3"/>
  <c r="H6"/>
  <c r="G6"/>
  <c r="H51" i="4"/>
  <c r="J6" i="3"/>
  <c r="I7"/>
  <c r="H7"/>
  <c r="G7"/>
  <c r="H52" i="4"/>
  <c r="J7" i="3"/>
  <c r="I8"/>
  <c r="H8"/>
  <c r="G8"/>
  <c r="H53" i="4"/>
  <c r="J8" i="3"/>
  <c r="J9"/>
  <c r="J10"/>
  <c r="J11"/>
  <c r="J12"/>
  <c r="J13"/>
  <c r="J14"/>
  <c r="J15"/>
  <c r="J16"/>
  <c r="J17"/>
  <c r="J18"/>
  <c r="J19"/>
  <c r="J20"/>
  <c r="J73" i="4"/>
  <c r="J21" i="3"/>
  <c r="E28" s="1"/>
  <c r="G49"/>
  <c r="E49"/>
  <c r="G50"/>
  <c r="G9"/>
  <c r="G10"/>
  <c r="G11"/>
  <c r="G12"/>
  <c r="G13"/>
  <c r="G14"/>
  <c r="G15"/>
  <c r="G16"/>
  <c r="G17"/>
  <c r="G18"/>
  <c r="G19"/>
  <c r="G20"/>
  <c r="B9"/>
  <c r="B10"/>
  <c r="B11"/>
  <c r="B12"/>
  <c r="B13"/>
  <c r="B14"/>
  <c r="B15"/>
  <c r="B16"/>
  <c r="B17"/>
  <c r="B18"/>
  <c r="B19"/>
  <c r="B20"/>
  <c r="G25" i="17"/>
  <c r="F38" s="1"/>
  <c r="J38" s="1"/>
  <c r="H54" i="4"/>
  <c r="H55"/>
  <c r="H56"/>
  <c r="H57"/>
  <c r="H58"/>
  <c r="H59"/>
  <c r="H60"/>
  <c r="H61"/>
  <c r="H62"/>
  <c r="H63"/>
  <c r="H64"/>
  <c r="H65"/>
  <c r="C54"/>
  <c r="C55"/>
  <c r="C56"/>
  <c r="C57"/>
  <c r="C58"/>
  <c r="C59"/>
  <c r="C60"/>
  <c r="C61"/>
  <c r="C62"/>
  <c r="C63"/>
  <c r="C64"/>
  <c r="C65"/>
  <c r="F34"/>
  <c r="H34"/>
  <c r="D1" i="21"/>
  <c r="E1"/>
  <c r="B2"/>
  <c r="C2"/>
  <c r="F2"/>
  <c r="G2"/>
  <c r="H2"/>
  <c r="I2"/>
  <c r="K2"/>
  <c r="D16" i="20"/>
  <c r="D14"/>
  <c r="D20"/>
  <c r="F53"/>
  <c r="F52"/>
  <c r="D4" i="13"/>
  <c r="C20" i="2"/>
  <c r="A86" i="20"/>
  <c r="A82"/>
  <c r="A2" i="13"/>
  <c r="E2"/>
  <c r="D24" i="20"/>
  <c r="D27"/>
  <c r="D29"/>
  <c r="D31"/>
  <c r="A43"/>
  <c r="G43"/>
  <c r="F46"/>
  <c r="B52"/>
  <c r="B47"/>
  <c r="F47"/>
  <c r="B48"/>
  <c r="F48"/>
  <c r="B53"/>
  <c r="B49"/>
  <c r="F54"/>
  <c r="A76"/>
  <c r="G76"/>
  <c r="G1" i="6"/>
  <c r="N1" i="17"/>
  <c r="B24"/>
  <c r="H24"/>
  <c r="A25"/>
  <c r="D38" s="1"/>
  <c r="B54" s="1"/>
  <c r="B25"/>
  <c r="E38"/>
  <c r="H25"/>
  <c r="B26"/>
  <c r="E39" s="1"/>
  <c r="G26"/>
  <c r="F39" s="1"/>
  <c r="J39" s="1"/>
  <c r="H26"/>
  <c r="B27"/>
  <c r="E40" s="1"/>
  <c r="G27"/>
  <c r="F40" s="1"/>
  <c r="J40" s="1"/>
  <c r="H27"/>
  <c r="C9" i="3"/>
  <c r="C10"/>
  <c r="C11"/>
  <c r="C12"/>
  <c r="C13"/>
  <c r="C14"/>
  <c r="C15"/>
  <c r="C16"/>
  <c r="C17"/>
  <c r="C18"/>
  <c r="C19"/>
  <c r="C20"/>
  <c r="B28" i="17"/>
  <c r="E41" s="1"/>
  <c r="H28"/>
  <c r="G28"/>
  <c r="F41" s="1"/>
  <c r="J41" s="1"/>
  <c r="B29"/>
  <c r="E42" s="1"/>
  <c r="H29"/>
  <c r="G29"/>
  <c r="F42" s="1"/>
  <c r="J42" s="1"/>
  <c r="D9" i="3"/>
  <c r="D10"/>
  <c r="D11"/>
  <c r="D12"/>
  <c r="D13"/>
  <c r="D14"/>
  <c r="D15"/>
  <c r="D16"/>
  <c r="D17"/>
  <c r="D18"/>
  <c r="D19"/>
  <c r="D20"/>
  <c r="A32" i="17"/>
  <c r="D45" s="1"/>
  <c r="B32"/>
  <c r="E45" s="1"/>
  <c r="H32"/>
  <c r="A33"/>
  <c r="D46"/>
  <c r="B62" s="1"/>
  <c r="B33"/>
  <c r="E46" s="1"/>
  <c r="G33"/>
  <c r="F46" s="1"/>
  <c r="J46" s="1"/>
  <c r="H33"/>
  <c r="E37"/>
  <c r="I39"/>
  <c r="I40"/>
  <c r="I41"/>
  <c r="I42"/>
  <c r="E43"/>
  <c r="E44"/>
  <c r="F45"/>
  <c r="I45"/>
  <c r="J45"/>
  <c r="K50"/>
  <c r="I46"/>
  <c r="C49"/>
  <c r="D49"/>
  <c r="E49"/>
  <c r="F49"/>
  <c r="G49"/>
  <c r="H49"/>
  <c r="I49"/>
  <c r="J49"/>
  <c r="K49"/>
  <c r="L49"/>
  <c r="B67"/>
  <c r="C68"/>
  <c r="G89"/>
  <c r="F90"/>
  <c r="G90"/>
  <c r="G91"/>
  <c r="E1" i="16"/>
  <c r="D34"/>
  <c r="B6"/>
  <c r="B12" s="1"/>
  <c r="D35"/>
  <c r="D36" s="1"/>
  <c r="A33"/>
  <c r="D33"/>
  <c r="D41"/>
  <c r="E41"/>
  <c r="A39"/>
  <c r="D40"/>
  <c r="E40"/>
  <c r="B41"/>
  <c r="B42"/>
  <c r="B43"/>
  <c r="B44"/>
  <c r="B45"/>
  <c r="B46"/>
  <c r="B47"/>
  <c r="B48"/>
  <c r="B49"/>
  <c r="B50"/>
  <c r="B51"/>
  <c r="B52"/>
  <c r="B53"/>
  <c r="B54"/>
  <c r="B55"/>
  <c r="B56"/>
  <c r="B57"/>
  <c r="B58"/>
  <c r="B59"/>
  <c r="B60"/>
  <c r="B61"/>
  <c r="E1" i="2"/>
  <c r="B20"/>
  <c r="D20"/>
  <c r="D8" i="13" s="1"/>
  <c r="E20" i="2"/>
  <c r="E8" i="13" s="1"/>
  <c r="J1" i="3"/>
  <c r="B5"/>
  <c r="C5"/>
  <c r="E5"/>
  <c r="G5"/>
  <c r="H5"/>
  <c r="J5"/>
  <c r="H9"/>
  <c r="I9"/>
  <c r="H10"/>
  <c r="I10"/>
  <c r="H11"/>
  <c r="I11"/>
  <c r="H12"/>
  <c r="I12"/>
  <c r="H13"/>
  <c r="I13"/>
  <c r="H14"/>
  <c r="I14"/>
  <c r="H15"/>
  <c r="I15"/>
  <c r="H16"/>
  <c r="I16"/>
  <c r="H17"/>
  <c r="I17"/>
  <c r="H18"/>
  <c r="I18"/>
  <c r="H19"/>
  <c r="I19"/>
  <c r="H20"/>
  <c r="I20"/>
  <c r="A21"/>
  <c r="F21"/>
  <c r="A24"/>
  <c r="F24"/>
  <c r="G27"/>
  <c r="G28"/>
  <c r="G29"/>
  <c r="G30"/>
  <c r="G33"/>
  <c r="G34"/>
  <c r="G38"/>
  <c r="G39"/>
  <c r="G43"/>
  <c r="G44"/>
  <c r="G45"/>
  <c r="A57"/>
  <c r="J57"/>
  <c r="A58"/>
  <c r="E62"/>
  <c r="G62"/>
  <c r="G63"/>
  <c r="G64"/>
  <c r="G65"/>
  <c r="G66"/>
  <c r="G13" i="4"/>
  <c r="A18"/>
  <c r="E34"/>
  <c r="G34"/>
  <c r="I34"/>
  <c r="C50"/>
  <c r="E50"/>
  <c r="H50"/>
  <c r="J50"/>
  <c r="A69"/>
  <c r="F69"/>
  <c r="A76"/>
  <c r="A78"/>
  <c r="A79"/>
  <c r="B81"/>
  <c r="B85"/>
  <c r="A87"/>
  <c r="A91"/>
  <c r="F91"/>
  <c r="A92"/>
  <c r="F92"/>
  <c r="A93"/>
  <c r="F93"/>
  <c r="A94"/>
  <c r="F94"/>
  <c r="A95"/>
  <c r="B4" i="13"/>
  <c r="C4"/>
  <c r="E4"/>
  <c r="A5"/>
  <c r="A7"/>
  <c r="A8"/>
  <c r="B8"/>
  <c r="C8"/>
  <c r="A9"/>
  <c r="A10"/>
  <c r="A11"/>
  <c r="A12"/>
  <c r="A13"/>
  <c r="A14"/>
  <c r="A15"/>
  <c r="A16"/>
  <c r="A17"/>
  <c r="A18"/>
  <c r="A19"/>
  <c r="A20"/>
  <c r="A21"/>
  <c r="A22"/>
  <c r="A23"/>
  <c r="A24"/>
  <c r="A25"/>
  <c r="A26"/>
  <c r="A27"/>
  <c r="A28"/>
  <c r="A29"/>
  <c r="C1" i="12"/>
  <c r="D60" i="16"/>
  <c r="E60"/>
  <c r="D52"/>
  <c r="E52"/>
  <c r="D44"/>
  <c r="E44"/>
  <c r="D58"/>
  <c r="E58"/>
  <c r="D54"/>
  <c r="E54"/>
  <c r="D50"/>
  <c r="E50"/>
  <c r="D46"/>
  <c r="E46"/>
  <c r="D42"/>
  <c r="E42"/>
  <c r="D61"/>
  <c r="E61"/>
  <c r="D59"/>
  <c r="E59"/>
  <c r="D57"/>
  <c r="E57"/>
  <c r="D55"/>
  <c r="E55"/>
  <c r="D53"/>
  <c r="E53"/>
  <c r="D51"/>
  <c r="E51"/>
  <c r="D49"/>
  <c r="E49"/>
  <c r="D47"/>
  <c r="E47"/>
  <c r="D45"/>
  <c r="E45"/>
  <c r="D43"/>
  <c r="E43"/>
  <c r="I23" i="3"/>
  <c r="I24"/>
  <c r="D56" i="16"/>
  <c r="E56"/>
  <c r="D48"/>
  <c r="E48"/>
  <c r="D24" i="3"/>
  <c r="A29" i="17"/>
  <c r="D42" s="1"/>
  <c r="B58" s="1"/>
  <c r="C18" i="13"/>
  <c r="E14"/>
  <c r="C9"/>
  <c r="C26"/>
  <c r="C10"/>
  <c r="D27"/>
  <c r="E9"/>
  <c r="E26"/>
  <c r="E24"/>
  <c r="E17"/>
  <c r="D17"/>
  <c r="C23"/>
  <c r="D9"/>
  <c r="D28"/>
  <c r="C21"/>
  <c r="E13"/>
  <c r="E12"/>
  <c r="C13"/>
  <c r="D13"/>
  <c r="E21"/>
  <c r="E20"/>
  <c r="D12"/>
  <c r="C14"/>
  <c r="C11"/>
  <c r="C22"/>
  <c r="E15"/>
  <c r="C19"/>
  <c r="D19"/>
  <c r="E29"/>
  <c r="D29"/>
  <c r="C20"/>
  <c r="C28"/>
  <c r="E18"/>
  <c r="C24"/>
  <c r="E19"/>
  <c r="D23"/>
  <c r="D10"/>
  <c r="D15"/>
  <c r="C12"/>
  <c r="D11"/>
  <c r="C16"/>
  <c r="D14"/>
  <c r="D16"/>
  <c r="D20"/>
  <c r="E11"/>
  <c r="E28"/>
  <c r="C17"/>
  <c r="D25"/>
  <c r="E10"/>
  <c r="E22"/>
  <c r="E16"/>
  <c r="D18"/>
  <c r="D21"/>
  <c r="C15"/>
  <c r="B9"/>
  <c r="C29"/>
  <c r="B28"/>
  <c r="E27"/>
  <c r="C27"/>
  <c r="D26"/>
  <c r="B26"/>
  <c r="E25"/>
  <c r="C25"/>
  <c r="D24"/>
  <c r="B24"/>
  <c r="E23"/>
  <c r="D22"/>
  <c r="B22"/>
  <c r="B20"/>
  <c r="B18"/>
  <c r="B16"/>
  <c r="B14"/>
  <c r="B12"/>
  <c r="B10"/>
  <c r="E63" i="3"/>
  <c r="F89" i="17"/>
  <c r="F91" s="1"/>
  <c r="E39" i="3" s="1"/>
  <c r="B29" i="13"/>
  <c r="B27"/>
  <c r="B25"/>
  <c r="B23"/>
  <c r="B21"/>
  <c r="B19"/>
  <c r="B17"/>
  <c r="B15"/>
  <c r="B13"/>
  <c r="B11"/>
  <c r="E43" i="3"/>
  <c r="D5" i="13"/>
  <c r="D43" i="17"/>
  <c r="B59"/>
  <c r="H59" s="1"/>
  <c r="G30"/>
  <c r="F43"/>
  <c r="J43" s="1"/>
  <c r="D59"/>
  <c r="F59"/>
  <c r="C59"/>
  <c r="E59"/>
  <c r="G59"/>
  <c r="L59"/>
  <c r="K59"/>
  <c r="B26" i="2" l="1"/>
  <c r="E26"/>
  <c r="C38"/>
  <c r="D29"/>
  <c r="D21"/>
  <c r="C33"/>
  <c r="E24"/>
  <c r="C41"/>
  <c r="B28"/>
  <c r="C23"/>
  <c r="E27"/>
  <c r="B32"/>
  <c r="B34"/>
  <c r="C36"/>
  <c r="B40"/>
  <c r="D34"/>
  <c r="D23"/>
  <c r="D26"/>
  <c r="B38"/>
  <c r="D28"/>
  <c r="E23"/>
  <c r="C29"/>
  <c r="B22"/>
  <c r="B41"/>
  <c r="C22"/>
  <c r="E21"/>
  <c r="E36"/>
  <c r="B39"/>
  <c r="D38"/>
  <c r="D24"/>
  <c r="E30" i="3"/>
  <c r="E2" i="21" s="1"/>
  <c r="B27" i="2"/>
  <c r="D36"/>
  <c r="C32"/>
  <c r="B23"/>
  <c r="B30"/>
  <c r="B24"/>
  <c r="E39"/>
  <c r="D32"/>
  <c r="D37"/>
  <c r="E34"/>
  <c r="D30"/>
  <c r="C27"/>
  <c r="B21"/>
  <c r="C30"/>
  <c r="C21"/>
  <c r="B29"/>
  <c r="C35"/>
  <c r="D40"/>
  <c r="E25"/>
  <c r="C25"/>
  <c r="E33"/>
  <c r="B36"/>
  <c r="C34"/>
  <c r="C31"/>
  <c r="E41"/>
  <c r="E30"/>
  <c r="E31"/>
  <c r="D22"/>
  <c r="C24"/>
  <c r="C28"/>
  <c r="B35"/>
  <c r="B25"/>
  <c r="B37"/>
  <c r="E40"/>
  <c r="C39"/>
  <c r="E33" i="3"/>
  <c r="E34"/>
  <c r="D39" i="2"/>
  <c r="E38"/>
  <c r="E29"/>
  <c r="D25"/>
  <c r="E32"/>
  <c r="B31"/>
  <c r="C26"/>
  <c r="D31"/>
  <c r="D41"/>
  <c r="C40"/>
  <c r="D35"/>
  <c r="D27"/>
  <c r="E37"/>
  <c r="B33"/>
  <c r="C37"/>
  <c r="E22"/>
  <c r="E28"/>
  <c r="D33"/>
  <c r="E35"/>
  <c r="D44" i="17"/>
  <c r="B60" s="1"/>
  <c r="G31"/>
  <c r="F44" s="1"/>
  <c r="J44" s="1"/>
  <c r="K44" s="1"/>
  <c r="J50"/>
  <c r="H50"/>
  <c r="K42"/>
  <c r="K41"/>
  <c r="G50"/>
  <c r="G57" s="1"/>
  <c r="K39"/>
  <c r="E50"/>
  <c r="E53"/>
  <c r="K53"/>
  <c r="H53"/>
  <c r="J53"/>
  <c r="G53"/>
  <c r="D53"/>
  <c r="F53"/>
  <c r="L53"/>
  <c r="I53"/>
  <c r="I57"/>
  <c r="H57"/>
  <c r="D57"/>
  <c r="E57"/>
  <c r="F57"/>
  <c r="C57"/>
  <c r="L57"/>
  <c r="J57"/>
  <c r="K57"/>
  <c r="K37"/>
  <c r="C50"/>
  <c r="C53" s="1"/>
  <c r="K43"/>
  <c r="I50"/>
  <c r="I59" s="1"/>
  <c r="L58"/>
  <c r="I58"/>
  <c r="E58"/>
  <c r="G58"/>
  <c r="D58"/>
  <c r="H58"/>
  <c r="C58"/>
  <c r="J58"/>
  <c r="F58"/>
  <c r="K58"/>
  <c r="C44" i="16"/>
  <c r="C57"/>
  <c r="C48"/>
  <c r="C42"/>
  <c r="C41"/>
  <c r="C56"/>
  <c r="C55"/>
  <c r="C61"/>
  <c r="D39"/>
  <c r="C52"/>
  <c r="C54"/>
  <c r="C59"/>
  <c r="C47"/>
  <c r="C51"/>
  <c r="G79" i="4" s="1"/>
  <c r="C45" i="16"/>
  <c r="C58"/>
  <c r="C46"/>
  <c r="C49"/>
  <c r="C53"/>
  <c r="C60"/>
  <c r="C50"/>
  <c r="C43"/>
  <c r="K46" i="17"/>
  <c r="L50"/>
  <c r="L62" s="1"/>
  <c r="D62"/>
  <c r="H62"/>
  <c r="I62"/>
  <c r="J62"/>
  <c r="K62"/>
  <c r="E62"/>
  <c r="G62"/>
  <c r="C62"/>
  <c r="F62"/>
  <c r="B61"/>
  <c r="K45"/>
  <c r="K40"/>
  <c r="F50"/>
  <c r="L54"/>
  <c r="I54"/>
  <c r="E54"/>
  <c r="F54"/>
  <c r="K54"/>
  <c r="J54"/>
  <c r="G54"/>
  <c r="C54"/>
  <c r="H54"/>
  <c r="K38"/>
  <c r="D50"/>
  <c r="D54" s="1"/>
  <c r="D56"/>
  <c r="E56"/>
  <c r="G56"/>
  <c r="L56"/>
  <c r="C56"/>
  <c r="J56"/>
  <c r="F56"/>
  <c r="K56"/>
  <c r="I56"/>
  <c r="H56"/>
  <c r="D2" i="21"/>
  <c r="E54" i="3"/>
  <c r="E50"/>
  <c r="H49" s="1"/>
  <c r="J55" i="17"/>
  <c r="H55"/>
  <c r="K55"/>
  <c r="C55"/>
  <c r="L55"/>
  <c r="E55"/>
  <c r="F55"/>
  <c r="D55"/>
  <c r="I55"/>
  <c r="G55"/>
  <c r="J59"/>
  <c r="J60"/>
  <c r="L60"/>
  <c r="I60"/>
  <c r="D60"/>
  <c r="A33" i="13"/>
  <c r="E44" i="3" l="1"/>
  <c r="H44" s="1"/>
  <c r="E64"/>
  <c r="B5" i="13" s="1"/>
  <c r="E61" i="3"/>
  <c r="E66" s="1"/>
  <c r="E5" i="13" s="1"/>
  <c r="C60" i="17"/>
  <c r="F60"/>
  <c r="H60"/>
  <c r="E60"/>
  <c r="K60"/>
  <c r="G60"/>
  <c r="E45" i="3"/>
  <c r="H45" s="1"/>
  <c r="E65"/>
  <c r="C5" i="13" s="1"/>
  <c r="E38" i="3"/>
  <c r="H38" s="1"/>
  <c r="K61" i="17"/>
  <c r="K63" s="1"/>
  <c r="K64" s="1"/>
  <c r="F61"/>
  <c r="G61"/>
  <c r="G63" s="1"/>
  <c r="G64" s="1"/>
  <c r="C61"/>
  <c r="C63" s="1"/>
  <c r="D61"/>
  <c r="D63" s="1"/>
  <c r="D64" s="1"/>
  <c r="J61"/>
  <c r="E61"/>
  <c r="E63" s="1"/>
  <c r="E64" s="1"/>
  <c r="I61"/>
  <c r="L61"/>
  <c r="L63" s="1"/>
  <c r="L64" s="1"/>
  <c r="H61"/>
  <c r="H63" s="1"/>
  <c r="J63"/>
  <c r="B63"/>
  <c r="I63"/>
  <c r="C64" l="1"/>
  <c r="F63"/>
  <c r="F64" s="1"/>
  <c r="F65" s="1"/>
  <c r="D67"/>
  <c r="D65"/>
  <c r="G67"/>
  <c r="G65"/>
  <c r="K65"/>
  <c r="K67"/>
  <c r="L65"/>
  <c r="L67"/>
  <c r="E65"/>
  <c r="E67"/>
  <c r="C67"/>
  <c r="C65"/>
  <c r="H64"/>
  <c r="I64"/>
  <c r="J64"/>
  <c r="F67" l="1"/>
  <c r="J65"/>
  <c r="J67"/>
  <c r="H67"/>
  <c r="H65"/>
  <c r="I65"/>
  <c r="I67"/>
  <c r="B65"/>
  <c r="B68" l="1"/>
  <c r="D68" s="1"/>
  <c r="B66"/>
  <c r="I66"/>
  <c r="L66"/>
  <c r="F66"/>
  <c r="J66"/>
  <c r="G66"/>
  <c r="D66"/>
  <c r="C66"/>
  <c r="N66" s="1"/>
  <c r="K66"/>
  <c r="E66"/>
  <c r="H66"/>
</calcChain>
</file>

<file path=xl/comments1.xml><?xml version="1.0" encoding="utf-8"?>
<comments xmlns="http://schemas.openxmlformats.org/spreadsheetml/2006/main">
  <authors>
    <author>Dan Wright</author>
  </authors>
  <commentList>
    <comment ref="B1" authorId="0">
      <text>
        <r>
          <rPr>
            <b/>
            <sz val="8"/>
            <color indexed="10"/>
            <rFont val="Trebuchet MS"/>
            <family val="2"/>
          </rPr>
          <t>Copy and paste values in control chart.</t>
        </r>
      </text>
    </comment>
  </commentList>
</comments>
</file>

<file path=xl/comments2.xml><?xml version="1.0" encoding="utf-8"?>
<comments xmlns="http://schemas.openxmlformats.org/spreadsheetml/2006/main">
  <authors>
    <author>Dan Wright</author>
  </authors>
  <commentList>
    <comment ref="A57" authorId="0">
      <text>
        <r>
          <rPr>
            <b/>
            <sz val="8"/>
            <color indexed="10"/>
            <rFont val="Trebuchet MS"/>
            <family val="2"/>
          </rPr>
          <t>Metric Prover Pressure Test Formula</t>
        </r>
      </text>
    </comment>
    <comment ref="J57" authorId="0">
      <text>
        <r>
          <rPr>
            <b/>
            <sz val="8"/>
            <color indexed="10"/>
            <rFont val="Trebuchet MS"/>
            <family val="2"/>
          </rPr>
          <t>Customary Prover Pressure Test Formula</t>
        </r>
      </text>
    </comment>
  </commentList>
</comments>
</file>

<file path=xl/sharedStrings.xml><?xml version="1.0" encoding="utf-8"?>
<sst xmlns="http://schemas.openxmlformats.org/spreadsheetml/2006/main" count="667" uniqueCount="563">
  <si>
    <t>Customer Information</t>
  </si>
  <si>
    <t>POC</t>
  </si>
  <si>
    <t>Phone</t>
  </si>
  <si>
    <t>PO#</t>
  </si>
  <si>
    <t>Manufacture</t>
  </si>
  <si>
    <t>Serial Number</t>
  </si>
  <si>
    <t>k-factor</t>
  </si>
  <si>
    <t>ID Code</t>
  </si>
  <si>
    <t>Description</t>
  </si>
  <si>
    <t>Material</t>
  </si>
  <si>
    <t>Prover Material</t>
  </si>
  <si>
    <t>Humidity (% RH)</t>
  </si>
  <si>
    <t>Laboratory Test Conditions</t>
  </si>
  <si>
    <t>Technician</t>
  </si>
  <si>
    <t>Yes</t>
  </si>
  <si>
    <t>No</t>
  </si>
  <si>
    <t>Trial 1</t>
  </si>
  <si>
    <t>Drop Number</t>
  </si>
  <si>
    <t>Trial 2</t>
  </si>
  <si>
    <t>Standard(s) Observations</t>
  </si>
  <si>
    <t>Drop #</t>
  </si>
  <si>
    <t>Artifact Observations</t>
  </si>
  <si>
    <t>Measurement Range =</t>
  </si>
  <si>
    <t>Type</t>
  </si>
  <si>
    <t>B</t>
  </si>
  <si>
    <t>A</t>
  </si>
  <si>
    <t>Drops</t>
  </si>
  <si>
    <t>TableError</t>
  </si>
  <si>
    <t>Pressure Measurements</t>
  </si>
  <si>
    <t>Increasing / Decreasing Pressure Test.</t>
  </si>
  <si>
    <t>Increasing Pressure</t>
  </si>
  <si>
    <t>Decreasing Pressure</t>
  </si>
  <si>
    <t>psig</t>
  </si>
  <si>
    <t>Steel, Stainless</t>
  </si>
  <si>
    <t>Steel, Pressure Vessel, Low Carbon</t>
  </si>
  <si>
    <t>Steel, Prover, Low Carbon</t>
  </si>
  <si>
    <t xml:space="preserve">A. </t>
  </si>
  <si>
    <t xml:space="preserve">B. </t>
  </si>
  <si>
    <t>where</t>
  </si>
  <si>
    <t>Specify Procedure</t>
  </si>
  <si>
    <t>Specify Equation(s)</t>
  </si>
  <si>
    <t>Temperature of water for each delivery with the subscripts as above</t>
  </si>
  <si>
    <t>Distribution</t>
  </si>
  <si>
    <t>Normal</t>
  </si>
  <si>
    <t>Nominal Volume
(at zero mark on gauge)</t>
  </si>
  <si>
    <t>Traceability Statement</t>
  </si>
  <si>
    <t>Uncertainty Statement</t>
  </si>
  <si>
    <t>Certification Statement</t>
  </si>
  <si>
    <t xml:space="preserve"> Pick Lists
for
Data Validation Cells</t>
  </si>
  <si>
    <t>Scale Graduations (gal)</t>
  </si>
  <si>
    <t>Artifact and Measurement Information</t>
  </si>
  <si>
    <t>Volume Standard(s) Data</t>
  </si>
  <si>
    <t>Artifact Condition</t>
  </si>
  <si>
    <t>Was a Calibration Interval Requested or is one Required?</t>
  </si>
  <si>
    <t>What is the Interval (months)?</t>
  </si>
  <si>
    <t>Temperature Standard(s) Data</t>
  </si>
  <si>
    <t>Water Temperature, Bottom (ºC)</t>
  </si>
  <si>
    <t>Water Temperature, Middle (ºC)</t>
  </si>
  <si>
    <t>Water Temperature, Top (ºC)</t>
  </si>
  <si>
    <t>Water Temperature, Average (ºC)</t>
  </si>
  <si>
    <t>i</t>
  </si>
  <si>
    <t>Rounding factor =</t>
  </si>
  <si>
    <t>α =</t>
  </si>
  <si>
    <t>β =</t>
  </si>
  <si>
    <t>g/cm³</t>
  </si>
  <si>
    <t>Scale reading</t>
  </si>
  <si>
    <t>Nominal volume of prover</t>
  </si>
  <si>
    <t>Pressure Corrections</t>
  </si>
  <si>
    <t>If bottom gauge scale plate is adjustable, enter inside diameter of the lower neck (in)</t>
  </si>
  <si>
    <t>Prover Volume As Found =</t>
  </si>
  <si>
    <t>Prover Volume As Left =</t>
  </si>
  <si>
    <t>Prover correction at selected psig</t>
  </si>
  <si>
    <t>Selected applied pressure</t>
  </si>
  <si>
    <t>**  Gauge scale could not be adjusted or did not need to be adjusted.</t>
  </si>
  <si>
    <t>●  Enter the Pressure Correction from Table 1 that corresponds with the pressure being tested on your LPG Meter Test form.</t>
  </si>
  <si>
    <t>Top Scale Security Seal #</t>
  </si>
  <si>
    <t>Bottom Scale Security Seal #</t>
  </si>
  <si>
    <t>Accuracy
(ºC)</t>
  </si>
  <si>
    <t>Documentation</t>
  </si>
  <si>
    <t>Date Received</t>
  </si>
  <si>
    <t>Uncertainty Analysis</t>
  </si>
  <si>
    <t>Calculations</t>
  </si>
  <si>
    <t>Measurement Trial Calculations</t>
  </si>
  <si>
    <t>Volume Standard(s) Trial 1</t>
  </si>
  <si>
    <t>Volume Standard(s) Trial 2</t>
  </si>
  <si>
    <t>Water Density (g/cm³)</t>
  </si>
  <si>
    <t>LPG Prover Trial 1</t>
  </si>
  <si>
    <t>LPG Prover Trial 2</t>
  </si>
  <si>
    <t>Water Density (g/cm³) =</t>
  </si>
  <si>
    <t>LPG Prover Nominal Value =</t>
  </si>
  <si>
    <t>LPG Prover Volume As Found =</t>
  </si>
  <si>
    <t>Uncertainty (k=2) =</t>
  </si>
  <si>
    <t>Tables &amp; Lists</t>
  </si>
  <si>
    <t>Rounding Table
(Rnd.Table)</t>
  </si>
  <si>
    <t>Prover Data Entry</t>
  </si>
  <si>
    <t>Correction
(ºC)</t>
  </si>
  <si>
    <t>ID
Code</t>
  </si>
  <si>
    <t>Water Temp.
(ºC)</t>
  </si>
  <si>
    <t>Temperature (ºC)</t>
  </si>
  <si>
    <t>Range Mean from CC (gal)</t>
  </si>
  <si>
    <t>Results Formatted For Calibration Report</t>
  </si>
  <si>
    <t>NIST HB 145, SOP 21, Calibration of LPG Provers</t>
  </si>
  <si>
    <t>Pressure Correction Calculations</t>
  </si>
  <si>
    <t>Pressure Correction Formulas</t>
  </si>
  <si>
    <t>Compressability of Water</t>
  </si>
  <si>
    <t xml:space="preserve">Vnom = </t>
  </si>
  <si>
    <t>Thermal compressability of water in atmospheres (atm)</t>
  </si>
  <si>
    <t>P =</t>
  </si>
  <si>
    <t>Pressure in atm</t>
  </si>
  <si>
    <t>Conversion Factors ( from NIST SP 811)</t>
  </si>
  <si>
    <t>To Convert From</t>
  </si>
  <si>
    <t>To</t>
  </si>
  <si>
    <t>Multiply By</t>
  </si>
  <si>
    <t>atmosphere (standard)</t>
  </si>
  <si>
    <t>pascal (Pa) (exactly)</t>
  </si>
  <si>
    <t>pascal Pa</t>
  </si>
  <si>
    <t>millimeter of mercury (0 ºC) (mmHg)</t>
  </si>
  <si>
    <t>Calibration Data</t>
  </si>
  <si>
    <t>Pressure (psig)</t>
  </si>
  <si>
    <t>Pressure (atm)</t>
  </si>
  <si>
    <r>
      <t>W</t>
    </r>
    <r>
      <rPr>
        <vertAlign val="subscript"/>
        <sz val="11"/>
        <rFont val="Times New Roman"/>
        <family val="1"/>
      </rPr>
      <t>cf</t>
    </r>
    <r>
      <rPr>
        <sz val="11"/>
        <rFont val="Times New Roman"/>
        <family val="1"/>
      </rPr>
      <t xml:space="preserve"> =  1 + ( k</t>
    </r>
    <r>
      <rPr>
        <i/>
        <sz val="11"/>
        <rFont val="Times New Roman"/>
        <family val="1"/>
      </rPr>
      <t>T</t>
    </r>
    <r>
      <rPr>
        <sz val="11"/>
        <rFont val="Times New Roman"/>
        <family val="1"/>
      </rPr>
      <t xml:space="preserve"> ) ( P )</t>
    </r>
  </si>
  <si>
    <r>
      <t>k</t>
    </r>
    <r>
      <rPr>
        <i/>
        <sz val="10"/>
        <rFont val="Tahoma"/>
        <family val="2"/>
      </rPr>
      <t>T</t>
    </r>
    <r>
      <rPr>
        <sz val="10"/>
        <rFont val="Tahoma"/>
        <family val="2"/>
      </rPr>
      <t xml:space="preserve"> =</t>
    </r>
  </si>
  <si>
    <r>
      <t>t</t>
    </r>
    <r>
      <rPr>
        <sz val="10"/>
        <rFont val="Trebuchet MS"/>
        <family val="2"/>
      </rPr>
      <t xml:space="preserve"> = temperature of water</t>
    </r>
  </si>
  <si>
    <r>
      <t>pounds per square inch (psi</t>
    </r>
    <r>
      <rPr>
        <sz val="10"/>
        <rFont val="Trebuchet MS"/>
        <family val="2"/>
      </rPr>
      <t>)</t>
    </r>
  </si>
  <si>
    <r>
      <t>k</t>
    </r>
    <r>
      <rPr>
        <i/>
        <sz val="10"/>
        <rFont val="Tahoma"/>
        <family val="2"/>
      </rPr>
      <t xml:space="preserve">T </t>
    </r>
    <r>
      <rPr>
        <sz val="10"/>
        <rFont val="Tahoma"/>
        <family val="2"/>
      </rPr>
      <t>(kPa)</t>
    </r>
    <r>
      <rPr>
        <vertAlign val="superscript"/>
        <sz val="10"/>
        <rFont val="Tahoma"/>
        <family val="2"/>
      </rPr>
      <t>-1</t>
    </r>
    <r>
      <rPr>
        <i/>
        <sz val="10"/>
        <rFont val="Tahoma"/>
        <family val="2"/>
      </rPr>
      <t xml:space="preserve"> </t>
    </r>
    <r>
      <rPr>
        <sz val="10"/>
        <rFont val="Tahoma"/>
        <family val="2"/>
      </rPr>
      <t>=</t>
    </r>
  </si>
  <si>
    <r>
      <t>k</t>
    </r>
    <r>
      <rPr>
        <i/>
        <sz val="10"/>
        <rFont val="Tahoma"/>
        <family val="2"/>
      </rPr>
      <t xml:space="preserve">T </t>
    </r>
    <r>
      <rPr>
        <sz val="10"/>
        <rFont val="Tahoma"/>
        <family val="2"/>
      </rPr>
      <t>(atm)</t>
    </r>
    <r>
      <rPr>
        <i/>
        <sz val="10"/>
        <rFont val="Tahoma"/>
        <family val="2"/>
      </rPr>
      <t xml:space="preserve"> </t>
    </r>
    <r>
      <rPr>
        <sz val="10"/>
        <rFont val="Tahoma"/>
        <family val="2"/>
      </rPr>
      <t>=</t>
    </r>
  </si>
  <si>
    <t>or pascal (Pa) =</t>
  </si>
  <si>
    <t>Prover Error at Reference Temperature and Selected Pressure</t>
  </si>
  <si>
    <t>Wcf</t>
  </si>
  <si>
    <t>Water Compressibility Factor</t>
  </si>
  <si>
    <t>Water Compressibility Value</t>
  </si>
  <si>
    <t>Compressability of Water Verus Pressure Calculations</t>
  </si>
  <si>
    <r>
      <t>The Thermal Compressability of Water (k</t>
    </r>
    <r>
      <rPr>
        <i/>
        <sz val="10"/>
        <rFont val="Trebuchet MS"/>
        <family val="2"/>
      </rPr>
      <t>T</t>
    </r>
    <r>
      <rPr>
        <sz val="10"/>
        <rFont val="Trebuchet MS"/>
        <family val="2"/>
      </rPr>
      <t>) equation is from the article by Frank E. Jones and Georgia L. Harris, "</t>
    </r>
    <r>
      <rPr>
        <i/>
        <sz val="10"/>
        <rFont val="Trebuchet MS"/>
        <family val="2"/>
      </rPr>
      <t>ITS-90 Density of Water Formulation for Volumetric Standards Calibration</t>
    </r>
    <r>
      <rPr>
        <sz val="10"/>
        <rFont val="Trebuchet MS"/>
        <family val="2"/>
      </rPr>
      <t>", as published in the Journal of Research of the National Institution of Standards and Technology, Vol. 97, No. 3, 1992.</t>
    </r>
  </si>
  <si>
    <r>
      <t>50.831 01x10</t>
    </r>
    <r>
      <rPr>
        <vertAlign val="superscript"/>
        <sz val="10"/>
        <rFont val="Trebuchet MS"/>
        <family val="2"/>
      </rPr>
      <t>-8</t>
    </r>
    <r>
      <rPr>
        <sz val="10"/>
        <rFont val="Trebuchet MS"/>
        <family val="2"/>
      </rPr>
      <t xml:space="preserve"> - 3.682 93x10</t>
    </r>
    <r>
      <rPr>
        <vertAlign val="superscript"/>
        <sz val="10"/>
        <rFont val="Trebuchet MS"/>
        <family val="2"/>
      </rPr>
      <t>-9</t>
    </r>
    <r>
      <rPr>
        <i/>
        <sz val="10"/>
        <rFont val="Trebuchet MS"/>
        <family val="2"/>
      </rPr>
      <t>t</t>
    </r>
    <r>
      <rPr>
        <sz val="10"/>
        <rFont val="Trebuchet MS"/>
        <family val="2"/>
      </rPr>
      <t xml:space="preserve"> + 7.263 725x10</t>
    </r>
    <r>
      <rPr>
        <vertAlign val="superscript"/>
        <sz val="10"/>
        <rFont val="Trebuchet MS"/>
        <family val="2"/>
      </rPr>
      <t>-11</t>
    </r>
    <r>
      <rPr>
        <i/>
        <sz val="10"/>
        <rFont val="Trebuchet MS"/>
        <family val="2"/>
      </rPr>
      <t>t</t>
    </r>
    <r>
      <rPr>
        <vertAlign val="superscript"/>
        <sz val="10"/>
        <rFont val="Trebuchet MS"/>
        <family val="2"/>
      </rPr>
      <t>2</t>
    </r>
    <r>
      <rPr>
        <sz val="10"/>
        <rFont val="Trebuchet MS"/>
        <family val="2"/>
      </rPr>
      <t xml:space="preserve"> - 6.597 702x10</t>
    </r>
    <r>
      <rPr>
        <vertAlign val="superscript"/>
        <sz val="10"/>
        <rFont val="Trebuchet MS"/>
        <family val="2"/>
      </rPr>
      <t>-13</t>
    </r>
    <r>
      <rPr>
        <i/>
        <sz val="10"/>
        <rFont val="Trebuchet MS"/>
        <family val="2"/>
      </rPr>
      <t>t</t>
    </r>
    <r>
      <rPr>
        <vertAlign val="superscript"/>
        <sz val="10"/>
        <rFont val="Trebuchet MS"/>
        <family val="2"/>
      </rPr>
      <t>3</t>
    </r>
    <r>
      <rPr>
        <sz val="10"/>
        <rFont val="Trebuchet MS"/>
        <family val="2"/>
      </rPr>
      <t xml:space="preserve"> + 2.877 67x10</t>
    </r>
    <r>
      <rPr>
        <vertAlign val="superscript"/>
        <sz val="10"/>
        <rFont val="Trebuchet MS"/>
        <family val="2"/>
      </rPr>
      <t>-15</t>
    </r>
    <r>
      <rPr>
        <i/>
        <sz val="10"/>
        <rFont val="Trebuchet MS"/>
        <family val="2"/>
      </rPr>
      <t>t</t>
    </r>
    <r>
      <rPr>
        <vertAlign val="superscript"/>
        <sz val="10"/>
        <rFont val="Trebuchet MS"/>
        <family val="2"/>
      </rPr>
      <t>4</t>
    </r>
  </si>
  <si>
    <t>Typical Barometric Pressure at Your Location (mmHg) =</t>
  </si>
  <si>
    <t>Compressability of Water Equations and Calculations</t>
  </si>
  <si>
    <t>Thermal Compressibility of Water Based on Calibration Location Atmompheric Pressure</t>
  </si>
  <si>
    <t>Note: This worksheet takes into account the typical atmospheric pressure at the location of the calibration.</t>
  </si>
  <si>
    <r>
      <t>W</t>
    </r>
    <r>
      <rPr>
        <vertAlign val="subscript"/>
        <sz val="11"/>
        <rFont val="Times New Roman"/>
        <family val="1"/>
      </rPr>
      <t>cv</t>
    </r>
    <r>
      <rPr>
        <sz val="11"/>
        <rFont val="Times New Roman"/>
        <family val="1"/>
      </rPr>
      <t xml:space="preserve"> =  ( Vnom ) ( k</t>
    </r>
    <r>
      <rPr>
        <i/>
        <sz val="11"/>
        <rFont val="Times New Roman"/>
        <family val="1"/>
      </rPr>
      <t>T</t>
    </r>
    <r>
      <rPr>
        <sz val="11"/>
        <rFont val="Times New Roman"/>
        <family val="1"/>
      </rPr>
      <t xml:space="preserve"> ) ( P )</t>
    </r>
  </si>
  <si>
    <t>Scale Graduations (in³)</t>
  </si>
  <si>
    <t>LPG Prover Volume As Left =</t>
  </si>
  <si>
    <t>Water compressibility value per gallon 100 psig</t>
  </si>
  <si>
    <t>Water compressibility correction factor (See SOP 21, Appendix A)</t>
  </si>
  <si>
    <t>Pressure Correction</t>
  </si>
  <si>
    <t>*   Gauge scale was adjusted to nominal volume at 100 psig.</t>
  </si>
  <si>
    <t>Was upper or lower scale adjusted for nominal volume @ 100 psig during this calibration?</t>
  </si>
  <si>
    <t>Used For Volume Standand(s)</t>
  </si>
  <si>
    <r>
      <t>V</t>
    </r>
    <r>
      <rPr>
        <i/>
        <vertAlign val="subscript"/>
        <sz val="11"/>
        <rFont val="Tahoma"/>
        <family val="2"/>
      </rPr>
      <t xml:space="preserve">Nominal </t>
    </r>
    <r>
      <rPr>
        <i/>
        <sz val="11"/>
        <rFont val="Tahoma"/>
        <family val="2"/>
      </rPr>
      <t>=</t>
    </r>
  </si>
  <si>
    <r>
      <t>W</t>
    </r>
    <r>
      <rPr>
        <i/>
        <vertAlign val="subscript"/>
        <sz val="11"/>
        <rFont val="Tahoma"/>
        <family val="2"/>
      </rPr>
      <t xml:space="preserve">cf </t>
    </r>
    <r>
      <rPr>
        <i/>
        <sz val="11"/>
        <rFont val="Tahoma"/>
        <family val="2"/>
      </rPr>
      <t>=</t>
    </r>
  </si>
  <si>
    <r>
      <t>S</t>
    </r>
    <r>
      <rPr>
        <i/>
        <vertAlign val="subscript"/>
        <sz val="11"/>
        <rFont val="Tahoma"/>
        <family val="2"/>
      </rPr>
      <t xml:space="preserve">r </t>
    </r>
    <r>
      <rPr>
        <i/>
        <sz val="11"/>
        <rFont val="Tahoma"/>
        <family val="2"/>
      </rPr>
      <t>=</t>
    </r>
  </si>
  <si>
    <r>
      <t>N</t>
    </r>
    <r>
      <rPr>
        <i/>
        <vertAlign val="subscript"/>
        <sz val="11"/>
        <rFont val="Tahoma"/>
        <family val="2"/>
      </rPr>
      <t xml:space="preserve">psig </t>
    </r>
    <r>
      <rPr>
        <i/>
        <sz val="11"/>
        <rFont val="Tahoma"/>
        <family val="2"/>
      </rPr>
      <t>=</t>
    </r>
  </si>
  <si>
    <r>
      <t>P</t>
    </r>
    <r>
      <rPr>
        <i/>
        <vertAlign val="subscript"/>
        <sz val="11"/>
        <rFont val="Tahoma"/>
        <family val="2"/>
      </rPr>
      <t xml:space="preserve">corr </t>
    </r>
    <r>
      <rPr>
        <i/>
        <sz val="11"/>
        <rFont val="Tahoma"/>
        <family val="2"/>
      </rPr>
      <t>@ N</t>
    </r>
    <r>
      <rPr>
        <i/>
        <vertAlign val="subscript"/>
        <sz val="11"/>
        <rFont val="Tahoma"/>
        <family val="2"/>
      </rPr>
      <t>psig</t>
    </r>
    <r>
      <rPr>
        <i/>
        <sz val="11"/>
        <rFont val="Tahoma"/>
        <family val="2"/>
      </rPr>
      <t>=</t>
    </r>
  </si>
  <si>
    <r>
      <t>W</t>
    </r>
    <r>
      <rPr>
        <i/>
        <vertAlign val="subscript"/>
        <sz val="11"/>
        <rFont val="Tahoma"/>
        <family val="2"/>
      </rPr>
      <t xml:space="preserve">cv </t>
    </r>
    <r>
      <rPr>
        <i/>
        <sz val="11"/>
        <rFont val="Tahoma"/>
        <family val="2"/>
      </rPr>
      <t>=</t>
    </r>
  </si>
  <si>
    <t>Cubical Coefficient of Expansion Table
(CCE.Table) &amp;
Material List
(Material.List)</t>
  </si>
  <si>
    <t>Report Number:</t>
  </si>
  <si>
    <t>It is recommended that LPG provers be adjusted, as close as possible, to the nominal volume at 100 psig. If neither scale is adjustable, a prover volume at 100 psig must be calculated and reported.</t>
  </si>
  <si>
    <t>If the bottom scale is adjustable, adjust the bottom scale:</t>
  </si>
  <si>
    <r>
      <t xml:space="preserve">If the upper and/or lower gauge scale plate is adjustable
perform only </t>
    </r>
    <r>
      <rPr>
        <b/>
        <u/>
        <sz val="12"/>
        <rFont val="Trebuchet MS"/>
        <family val="2"/>
      </rPr>
      <t>ONE</t>
    </r>
    <r>
      <rPr>
        <b/>
        <sz val="12"/>
        <rFont val="Trebuchet MS"/>
        <family val="2"/>
      </rPr>
      <t xml:space="preserve"> of the following adjustments:</t>
    </r>
  </si>
  <si>
    <t>cm³/ºF</t>
  </si>
  <si>
    <t>Date of Calibration</t>
  </si>
  <si>
    <r>
      <t>ρ</t>
    </r>
    <r>
      <rPr>
        <i/>
        <vertAlign val="subscript"/>
        <sz val="11"/>
        <rFont val="Tahoma"/>
        <family val="2"/>
      </rPr>
      <t>1</t>
    </r>
    <r>
      <rPr>
        <i/>
        <sz val="11"/>
        <rFont val="Tahoma"/>
        <family val="2"/>
      </rPr>
      <t>, ρ</t>
    </r>
    <r>
      <rPr>
        <i/>
        <vertAlign val="subscript"/>
        <sz val="11"/>
        <rFont val="Tahoma"/>
        <family val="2"/>
      </rPr>
      <t>2</t>
    </r>
    <r>
      <rPr>
        <i/>
        <sz val="11"/>
        <rFont val="Tahoma"/>
        <family val="2"/>
      </rPr>
      <t>, …, ρ</t>
    </r>
    <r>
      <rPr>
        <i/>
        <vertAlign val="subscript"/>
        <sz val="11"/>
        <rFont val="Tahoma"/>
        <family val="2"/>
      </rPr>
      <t>N</t>
    </r>
    <r>
      <rPr>
        <i/>
        <sz val="11"/>
        <rFont val="Tahoma"/>
        <family val="2"/>
      </rPr>
      <t xml:space="preserve"> =</t>
    </r>
  </si>
  <si>
    <r>
      <t>Δ</t>
    </r>
    <r>
      <rPr>
        <i/>
        <vertAlign val="subscript"/>
        <sz val="11"/>
        <rFont val="Tahoma"/>
        <family val="2"/>
      </rPr>
      <t>1</t>
    </r>
    <r>
      <rPr>
        <i/>
        <sz val="11"/>
        <rFont val="Tahoma"/>
        <family val="2"/>
      </rPr>
      <t>, Δ</t>
    </r>
    <r>
      <rPr>
        <i/>
        <vertAlign val="subscript"/>
        <sz val="11"/>
        <rFont val="Tahoma"/>
        <family val="2"/>
      </rPr>
      <t>2</t>
    </r>
    <r>
      <rPr>
        <i/>
        <sz val="11"/>
        <rFont val="Tahoma"/>
        <family val="2"/>
      </rPr>
      <t>,…,Δ</t>
    </r>
    <r>
      <rPr>
        <i/>
        <vertAlign val="subscript"/>
        <sz val="11"/>
        <rFont val="Tahoma"/>
        <family val="2"/>
      </rPr>
      <t>N</t>
    </r>
    <r>
      <rPr>
        <i/>
        <sz val="11"/>
        <rFont val="Tahoma"/>
        <family val="2"/>
      </rPr>
      <t xml:space="preserve"> =</t>
    </r>
  </si>
  <si>
    <r>
      <t>t</t>
    </r>
    <r>
      <rPr>
        <i/>
        <vertAlign val="subscript"/>
        <sz val="11"/>
        <rFont val="Tahoma"/>
        <family val="2"/>
      </rPr>
      <t>1</t>
    </r>
    <r>
      <rPr>
        <i/>
        <sz val="11"/>
        <rFont val="Tahoma"/>
        <family val="2"/>
      </rPr>
      <t>, t</t>
    </r>
    <r>
      <rPr>
        <i/>
        <vertAlign val="subscript"/>
        <sz val="11"/>
        <rFont val="Tahoma"/>
        <family val="2"/>
      </rPr>
      <t>2</t>
    </r>
    <r>
      <rPr>
        <i/>
        <sz val="11"/>
        <rFont val="Tahoma"/>
        <family val="2"/>
      </rPr>
      <t>, …, t</t>
    </r>
    <r>
      <rPr>
        <i/>
        <vertAlign val="subscript"/>
        <sz val="11"/>
        <rFont val="Tahoma"/>
        <family val="2"/>
      </rPr>
      <t>N</t>
    </r>
    <r>
      <rPr>
        <i/>
        <sz val="11"/>
        <rFont val="Tahoma"/>
        <family val="2"/>
      </rPr>
      <t xml:space="preserve"> =</t>
    </r>
  </si>
  <si>
    <r>
      <t>t</t>
    </r>
    <r>
      <rPr>
        <i/>
        <vertAlign val="subscript"/>
        <sz val="11"/>
        <rFont val="Tahoma"/>
        <family val="2"/>
      </rPr>
      <t>x</t>
    </r>
    <r>
      <rPr>
        <i/>
        <sz val="11"/>
        <rFont val="Tahoma"/>
        <family val="2"/>
      </rPr>
      <t xml:space="preserve"> =</t>
    </r>
  </si>
  <si>
    <r>
      <t>ρ</t>
    </r>
    <r>
      <rPr>
        <i/>
        <vertAlign val="subscript"/>
        <sz val="11"/>
        <rFont val="Tahoma"/>
        <family val="2"/>
      </rPr>
      <t>x</t>
    </r>
    <r>
      <rPr>
        <i/>
        <sz val="11"/>
        <rFont val="Tahoma"/>
        <family val="2"/>
      </rPr>
      <t xml:space="preserve"> =</t>
    </r>
  </si>
  <si>
    <t>Trial 1 LPG Prover Volume =</t>
  </si>
  <si>
    <t>Trial 2 LPG Prover Volume =</t>
  </si>
  <si>
    <t>Scale Graduations (L)</t>
  </si>
  <si>
    <t>Scale Graduations (mL)</t>
  </si>
  <si>
    <t>Range Mean from CC (in³)</t>
  </si>
  <si>
    <t>Range Mean from CC (L)</t>
  </si>
  <si>
    <t>Range Mean from CC (mL)</t>
  </si>
  <si>
    <t>Nominal Volume (gal)</t>
  </si>
  <si>
    <t>Nominal Volume (L)</t>
  </si>
  <si>
    <t>Uncertainty Evaluation</t>
  </si>
  <si>
    <t>Expanded Uncertainty =</t>
  </si>
  <si>
    <t>Tolerance Evaluation</t>
  </si>
  <si>
    <t>0.2 % of Measured Volume =</t>
  </si>
  <si>
    <t>Nominal volume of the prover in gallons or liters</t>
  </si>
  <si>
    <t>Note:  If lower scale was adjusted, print this form, including calculations sheet,
 drain, rezero, and retest before the Increasing / Decreasing Pressure Test.</t>
  </si>
  <si>
    <t>Volume Error As Found =</t>
  </si>
  <si>
    <t>Volume Error As Left =</t>
  </si>
  <si>
    <t>Increasing / Decreasing Presure Test</t>
  </si>
  <si>
    <r>
      <t>V</t>
    </r>
    <r>
      <rPr>
        <i/>
        <vertAlign val="subscript"/>
        <sz val="11"/>
        <rFont val="Tahoma"/>
        <family val="2"/>
      </rPr>
      <t>XtrefX</t>
    </r>
    <r>
      <rPr>
        <i/>
        <sz val="11"/>
        <rFont val="Tahoma"/>
        <family val="2"/>
      </rPr>
      <t xml:space="preserve"> =</t>
    </r>
  </si>
  <si>
    <r>
      <t>Volume of the unknown vessel, V</t>
    </r>
    <r>
      <rPr>
        <vertAlign val="subscript"/>
        <sz val="10"/>
        <rFont val="Trebuchet MS"/>
        <family val="2"/>
      </rPr>
      <t>X</t>
    </r>
    <r>
      <rPr>
        <sz val="10"/>
        <rFont val="Trebuchet MS"/>
        <family val="2"/>
      </rPr>
      <t xml:space="preserve"> at its designated reference temperature, t</t>
    </r>
    <r>
      <rPr>
        <vertAlign val="subscript"/>
        <sz val="10"/>
        <rFont val="Trebuchet MS"/>
        <family val="2"/>
      </rPr>
      <t>refX</t>
    </r>
  </si>
  <si>
    <r>
      <t>V</t>
    </r>
    <r>
      <rPr>
        <i/>
        <vertAlign val="subscript"/>
        <sz val="11"/>
        <rFont val="Tahoma"/>
        <family val="2"/>
      </rPr>
      <t>StrefS</t>
    </r>
    <r>
      <rPr>
        <i/>
        <sz val="11"/>
        <rFont val="Tahoma"/>
        <family val="2"/>
      </rPr>
      <t xml:space="preserve"> =</t>
    </r>
  </si>
  <si>
    <r>
      <t>Volume of the standard vessel, V</t>
    </r>
    <r>
      <rPr>
        <vertAlign val="subscript"/>
        <sz val="10"/>
        <rFont val="Trebuchet MS"/>
        <family val="2"/>
      </rPr>
      <t>S</t>
    </r>
    <r>
      <rPr>
        <sz val="10"/>
        <rFont val="Trebuchet MS"/>
        <family val="2"/>
      </rPr>
      <t xml:space="preserve"> at its designated reference temperature, t</t>
    </r>
    <r>
      <rPr>
        <vertAlign val="subscript"/>
        <sz val="10"/>
        <rFont val="Trebuchet MS"/>
        <family val="2"/>
      </rPr>
      <t>refS</t>
    </r>
  </si>
  <si>
    <r>
      <t xml:space="preserve">Density of the water in the standard where </t>
    </r>
    <r>
      <rPr>
        <i/>
        <sz val="10"/>
        <rFont val="Trebuchet MS"/>
        <family val="2"/>
      </rPr>
      <t>ρ</t>
    </r>
    <r>
      <rPr>
        <i/>
        <vertAlign val="subscript"/>
        <sz val="10"/>
        <rFont val="Trebuchet MS"/>
        <family val="2"/>
      </rPr>
      <t>1</t>
    </r>
    <r>
      <rPr>
        <sz val="10"/>
        <rFont val="Trebuchet MS"/>
        <family val="2"/>
      </rPr>
      <t xml:space="preserve"> is the density of the water for the first delivery, </t>
    </r>
    <r>
      <rPr>
        <i/>
        <sz val="10"/>
        <rFont val="Trebuchet MS"/>
        <family val="2"/>
      </rPr>
      <t>ρ</t>
    </r>
    <r>
      <rPr>
        <i/>
        <vertAlign val="subscript"/>
        <sz val="10"/>
        <rFont val="Trebuchet MS"/>
        <family val="2"/>
      </rPr>
      <t>2</t>
    </r>
    <r>
      <rPr>
        <sz val="10"/>
        <rFont val="Trebuchet MS"/>
        <family val="2"/>
      </rPr>
      <t xml:space="preserve"> is the density of the water for the second delivery, and so on until all N deliveries are completed</t>
    </r>
  </si>
  <si>
    <t>Coefficient of cubical expansion for the standard in its designated units</t>
  </si>
  <si>
    <t>Coefficient of cubical expansion for the unknown vessel in its designated units</t>
  </si>
  <si>
    <t>Temperature of water in the filled unknown vessel in designated units</t>
  </si>
  <si>
    <r>
      <t>Density of water in the prover in g/cm</t>
    </r>
    <r>
      <rPr>
        <vertAlign val="superscript"/>
        <sz val="10"/>
        <rFont val="Trebuchet MS"/>
        <family val="2"/>
      </rPr>
      <t>3</t>
    </r>
  </si>
  <si>
    <t>Identify Components Their Uncertainties</t>
  </si>
  <si>
    <t>Data Values (based on trial 1)</t>
  </si>
  <si>
    <t xml:space="preserve">(Δ) Volume differences between the water level and the reference mark on the standard </t>
  </si>
  <si>
    <t>(tref) Reference Temperature for this calibration</t>
  </si>
  <si>
    <t>Treated as constant, no uncertainty</t>
  </si>
  <si>
    <t>Input Table (Convert Component Uncertainties For Use In Kragten Spreadsheet)</t>
  </si>
  <si>
    <t>Input description</t>
  </si>
  <si>
    <t>Variable name, symbol</t>
  </si>
  <si>
    <t>Value</t>
  </si>
  <si>
    <t>units</t>
  </si>
  <si>
    <t>Reported uncer.</t>
  </si>
  <si>
    <t>Factor to normalize</t>
  </si>
  <si>
    <t>df</t>
  </si>
  <si>
    <t>Volume Standards</t>
  </si>
  <si>
    <t>uc</t>
  </si>
  <si>
    <t>delta</t>
  </si>
  <si>
    <t>Standard Cubic Coefficient
 of Expansion</t>
  </si>
  <si>
    <t>α</t>
  </si>
  <si>
    <t>Uniform</t>
  </si>
  <si>
    <t>Unknown Vessel Cubic Coefficient of Expansion</t>
  </si>
  <si>
    <t>β</t>
  </si>
  <si>
    <t>Standard Water Temperature</t>
  </si>
  <si>
    <t>Unknown Vessel Water Temperature</t>
  </si>
  <si>
    <t>Standard Water Density</t>
  </si>
  <si>
    <t>Unknown Vessel
 Water Density</t>
  </si>
  <si>
    <t>Sr</t>
  </si>
  <si>
    <t>Reference Temperature</t>
  </si>
  <si>
    <t>Kragten Spreadsheet (Calculate Each Component Uncertainty Impact, Combine and Expand)</t>
  </si>
  <si>
    <t>Measurement
Equation
 Inputs</t>
  </si>
  <si>
    <t>Result</t>
  </si>
  <si>
    <t>k</t>
  </si>
  <si>
    <t>U</t>
  </si>
  <si>
    <t>Weight of Each Component Uncertainty</t>
  </si>
  <si>
    <t>Determine Expanded Uncertainty For This Calibration</t>
  </si>
  <si>
    <t>Expand uncertainty for this calibration (k=2) =</t>
  </si>
  <si>
    <t>Accredited best uncertainty (e.g. NVLAP, A2LA, etc.) (k=2) =</t>
  </si>
  <si>
    <t>Uncertainty to be reported for this calibration (k=2) =</t>
  </si>
  <si>
    <r>
      <t>(t</t>
    </r>
    <r>
      <rPr>
        <vertAlign val="subscript"/>
        <sz val="10"/>
        <rFont val="Trebuchet MS"/>
        <family val="2"/>
      </rPr>
      <t>X</t>
    </r>
    <r>
      <rPr>
        <sz val="10"/>
        <rFont val="Trebuchet MS"/>
        <family val="2"/>
      </rPr>
      <t>) Temperature of water in the filled unknown vessel</t>
    </r>
  </si>
  <si>
    <r>
      <t>(ρ</t>
    </r>
    <r>
      <rPr>
        <vertAlign val="subscript"/>
        <sz val="10"/>
        <rFont val="Trebuchet MS"/>
        <family val="2"/>
      </rPr>
      <t>wS</t>
    </r>
    <r>
      <rPr>
        <sz val="10"/>
        <rFont val="Trebuchet MS"/>
        <family val="2"/>
      </rPr>
      <t>) Density of water in the standard in g/cm3</t>
    </r>
  </si>
  <si>
    <r>
      <t>(ρ</t>
    </r>
    <r>
      <rPr>
        <vertAlign val="subscript"/>
        <sz val="10"/>
        <rFont val="Trebuchet MS"/>
        <family val="2"/>
      </rPr>
      <t>wX</t>
    </r>
    <r>
      <rPr>
        <sz val="10"/>
        <rFont val="Trebuchet MS"/>
        <family val="2"/>
      </rPr>
      <t>) Density of water in the unknown vessel in g/cm3</t>
    </r>
  </si>
  <si>
    <r>
      <t xml:space="preserve">Standard uncer., </t>
    </r>
    <r>
      <rPr>
        <i/>
        <sz val="11"/>
        <rFont val="Trebuchet MS"/>
        <family val="2"/>
      </rPr>
      <t>u</t>
    </r>
    <r>
      <rPr>
        <i/>
        <vertAlign val="subscript"/>
        <sz val="11"/>
        <rFont val="Trebuchet MS"/>
        <family val="2"/>
      </rPr>
      <t>i</t>
    </r>
  </si>
  <si>
    <r>
      <t xml:space="preserve">Rel. </t>
    </r>
    <r>
      <rPr>
        <i/>
        <sz val="11"/>
        <color indexed="61"/>
        <rFont val="Trebuchet MS"/>
        <family val="2"/>
      </rPr>
      <t>u</t>
    </r>
    <r>
      <rPr>
        <i/>
        <vertAlign val="subscript"/>
        <sz val="11"/>
        <color indexed="61"/>
        <rFont val="Trebuchet MS"/>
        <family val="2"/>
      </rPr>
      <t xml:space="preserve">i </t>
    </r>
    <r>
      <rPr>
        <sz val="11"/>
        <color indexed="61"/>
        <rFont val="Trebuchet MS"/>
        <family val="2"/>
      </rPr>
      <t>(%)</t>
    </r>
  </si>
  <si>
    <r>
      <t>V</t>
    </r>
    <r>
      <rPr>
        <vertAlign val="subscript"/>
        <sz val="10"/>
        <color indexed="10"/>
        <rFont val="Trebuchet MS"/>
        <family val="2"/>
      </rPr>
      <t>StrefS</t>
    </r>
  </si>
  <si>
    <r>
      <t>Δ (s</t>
    </r>
    <r>
      <rPr>
        <vertAlign val="subscript"/>
        <sz val="10"/>
        <color indexed="10"/>
        <rFont val="Trebuchet MS"/>
        <family val="2"/>
      </rPr>
      <t>p</t>
    </r>
    <r>
      <rPr>
        <sz val="10"/>
        <color indexed="10"/>
        <rFont val="Trebuchet MS"/>
        <family val="2"/>
      </rPr>
      <t>)</t>
    </r>
  </si>
  <si>
    <r>
      <t>t</t>
    </r>
    <r>
      <rPr>
        <vertAlign val="subscript"/>
        <sz val="10"/>
        <color indexed="10"/>
        <rFont val="Trebuchet MS"/>
        <family val="2"/>
      </rPr>
      <t>S</t>
    </r>
  </si>
  <si>
    <r>
      <t>t</t>
    </r>
    <r>
      <rPr>
        <vertAlign val="subscript"/>
        <sz val="10"/>
        <color indexed="10"/>
        <rFont val="Trebuchet MS"/>
        <family val="2"/>
      </rPr>
      <t>X</t>
    </r>
  </si>
  <si>
    <r>
      <t>ρ</t>
    </r>
    <r>
      <rPr>
        <vertAlign val="subscript"/>
        <sz val="10"/>
        <color indexed="10"/>
        <rFont val="Trebuchet MS"/>
        <family val="2"/>
      </rPr>
      <t>wS</t>
    </r>
  </si>
  <si>
    <r>
      <t>ρ</t>
    </r>
    <r>
      <rPr>
        <vertAlign val="subscript"/>
        <sz val="10"/>
        <color indexed="10"/>
        <rFont val="Trebuchet MS"/>
        <family val="2"/>
      </rPr>
      <t>wX</t>
    </r>
  </si>
  <si>
    <r>
      <t>t</t>
    </r>
    <r>
      <rPr>
        <vertAlign val="subscript"/>
        <sz val="10"/>
        <color indexed="10"/>
        <rFont val="Trebuchet MS"/>
        <family val="2"/>
      </rPr>
      <t>refX</t>
    </r>
  </si>
  <si>
    <r>
      <t>c</t>
    </r>
    <r>
      <rPr>
        <b/>
        <i/>
        <vertAlign val="subscript"/>
        <sz val="9"/>
        <rFont val="Trebuchet MS"/>
        <family val="2"/>
      </rPr>
      <t>i</t>
    </r>
    <r>
      <rPr>
        <b/>
        <i/>
        <sz val="9"/>
        <rFont val="Trebuchet MS"/>
        <family val="2"/>
      </rPr>
      <t>u</t>
    </r>
    <r>
      <rPr>
        <b/>
        <i/>
        <vertAlign val="subscript"/>
        <sz val="9"/>
        <rFont val="Trebuchet MS"/>
        <family val="2"/>
      </rPr>
      <t>i</t>
    </r>
  </si>
  <si>
    <r>
      <t>u</t>
    </r>
    <r>
      <rPr>
        <b/>
        <vertAlign val="subscript"/>
        <sz val="10"/>
        <rFont val="Trebuchet MS"/>
        <family val="2"/>
      </rPr>
      <t>c</t>
    </r>
  </si>
  <si>
    <r>
      <t>(</t>
    </r>
    <r>
      <rPr>
        <b/>
        <i/>
        <sz val="9"/>
        <rFont val="Trebuchet MS"/>
        <family val="2"/>
      </rPr>
      <t>c</t>
    </r>
    <r>
      <rPr>
        <b/>
        <i/>
        <vertAlign val="subscript"/>
        <sz val="9"/>
        <rFont val="Trebuchet MS"/>
        <family val="2"/>
      </rPr>
      <t>i</t>
    </r>
    <r>
      <rPr>
        <b/>
        <i/>
        <sz val="9"/>
        <rFont val="Trebuchet MS"/>
        <family val="2"/>
      </rPr>
      <t>u</t>
    </r>
    <r>
      <rPr>
        <b/>
        <i/>
        <vertAlign val="subscript"/>
        <sz val="9"/>
        <rFont val="Trebuchet MS"/>
        <family val="2"/>
      </rPr>
      <t>i</t>
    </r>
    <r>
      <rPr>
        <b/>
        <sz val="9"/>
        <rFont val="Trebuchet MS"/>
        <family val="2"/>
      </rPr>
      <t>)</t>
    </r>
    <r>
      <rPr>
        <b/>
        <vertAlign val="superscript"/>
        <sz val="9"/>
        <rFont val="Trebuchet MS"/>
        <family val="2"/>
      </rPr>
      <t>2</t>
    </r>
  </si>
  <si>
    <r>
      <t>&lt;--rel (</t>
    </r>
    <r>
      <rPr>
        <i/>
        <sz val="10"/>
        <color indexed="10"/>
        <rFont val="Trebuchet MS"/>
        <family val="2"/>
      </rPr>
      <t>c</t>
    </r>
    <r>
      <rPr>
        <i/>
        <vertAlign val="subscript"/>
        <sz val="10"/>
        <color indexed="10"/>
        <rFont val="Trebuchet MS"/>
        <family val="2"/>
      </rPr>
      <t>i</t>
    </r>
    <r>
      <rPr>
        <i/>
        <sz val="10"/>
        <color indexed="10"/>
        <rFont val="Trebuchet MS"/>
        <family val="2"/>
      </rPr>
      <t>u</t>
    </r>
    <r>
      <rPr>
        <i/>
        <vertAlign val="subscript"/>
        <sz val="10"/>
        <color indexed="10"/>
        <rFont val="Trebuchet MS"/>
        <family val="2"/>
      </rPr>
      <t>i</t>
    </r>
    <r>
      <rPr>
        <sz val="10"/>
        <color indexed="10"/>
        <rFont val="Trebuchet MS"/>
        <family val="2"/>
      </rPr>
      <t>)</t>
    </r>
    <r>
      <rPr>
        <vertAlign val="superscript"/>
        <sz val="10"/>
        <color indexed="10"/>
        <rFont val="Trebuchet MS"/>
        <family val="2"/>
      </rPr>
      <t>2</t>
    </r>
  </si>
  <si>
    <r>
      <t>c</t>
    </r>
    <r>
      <rPr>
        <b/>
        <i/>
        <vertAlign val="subscript"/>
        <sz val="9"/>
        <color indexed="12"/>
        <rFont val="Trebuchet MS"/>
        <family val="2"/>
      </rPr>
      <t>i</t>
    </r>
  </si>
  <si>
    <r>
      <t>∑ (</t>
    </r>
    <r>
      <rPr>
        <i/>
        <sz val="10"/>
        <color indexed="10"/>
        <rFont val="Trebuchet MS"/>
        <family val="2"/>
      </rPr>
      <t>c</t>
    </r>
    <r>
      <rPr>
        <i/>
        <vertAlign val="subscript"/>
        <sz val="10"/>
        <color indexed="10"/>
        <rFont val="Trebuchet MS"/>
        <family val="2"/>
      </rPr>
      <t>i</t>
    </r>
    <r>
      <rPr>
        <i/>
        <sz val="10"/>
        <color indexed="10"/>
        <rFont val="Trebuchet MS"/>
        <family val="2"/>
      </rPr>
      <t>u</t>
    </r>
    <r>
      <rPr>
        <i/>
        <vertAlign val="subscript"/>
        <sz val="10"/>
        <color indexed="10"/>
        <rFont val="Trebuchet MS"/>
        <family val="2"/>
      </rPr>
      <t>i</t>
    </r>
    <r>
      <rPr>
        <sz val="10"/>
        <color indexed="10"/>
        <rFont val="Trebuchet MS"/>
        <family val="2"/>
      </rPr>
      <t>)</t>
    </r>
    <r>
      <rPr>
        <vertAlign val="superscript"/>
        <sz val="10"/>
        <color indexed="10"/>
        <rFont val="Trebuchet MS"/>
        <family val="2"/>
      </rPr>
      <t>2</t>
    </r>
  </si>
  <si>
    <r>
      <t>(</t>
    </r>
    <r>
      <rPr>
        <b/>
        <i/>
        <sz val="10"/>
        <rFont val="Trebuchet MS"/>
        <family val="2"/>
      </rPr>
      <t>U</t>
    </r>
    <r>
      <rPr>
        <vertAlign val="subscript"/>
        <sz val="10"/>
        <rFont val="Trebuchet MS"/>
        <family val="2"/>
      </rPr>
      <t>relative</t>
    </r>
    <r>
      <rPr>
        <sz val="10"/>
        <rFont val="Trebuchet MS"/>
        <family val="2"/>
      </rPr>
      <t>, %)</t>
    </r>
  </si>
  <si>
    <t>(Sr) Unknown vessel scale reading at 100 psig</t>
  </si>
  <si>
    <t>(α) Cubic Coefficient of Expansion for the stand material</t>
  </si>
  <si>
    <t>(β) Coefficient of cubical expansion for the unknown vessel material</t>
  </si>
  <si>
    <t>Criteria: Must agree within 0.02 % of prover nominal volume.</t>
  </si>
  <si>
    <r>
      <t>V</t>
    </r>
    <r>
      <rPr>
        <i/>
        <vertAlign val="subscript"/>
        <sz val="11"/>
        <rFont val="Tahoma"/>
        <family val="2"/>
      </rPr>
      <t xml:space="preserve">XtrefX </t>
    </r>
    <r>
      <rPr>
        <i/>
        <sz val="11"/>
        <rFont val="Tahoma"/>
        <family val="2"/>
      </rPr>
      <t>=</t>
    </r>
  </si>
  <si>
    <t>Used For LPG Prover</t>
  </si>
  <si>
    <r>
      <t>Trial 1 V</t>
    </r>
    <r>
      <rPr>
        <vertAlign val="subscript"/>
        <sz val="10"/>
        <rFont val="Trebuchet MS"/>
        <family val="2"/>
      </rPr>
      <t>XtrefX</t>
    </r>
    <r>
      <rPr>
        <sz val="10"/>
        <rFont val="Trebuchet MS"/>
        <family val="2"/>
      </rPr>
      <t xml:space="preserve"> =</t>
    </r>
  </si>
  <si>
    <r>
      <t>Trial 2 V</t>
    </r>
    <r>
      <rPr>
        <vertAlign val="subscript"/>
        <sz val="10"/>
        <rFont val="Trebuchet MS"/>
        <family val="2"/>
      </rPr>
      <t>XtrefX</t>
    </r>
    <r>
      <rPr>
        <sz val="10"/>
        <rFont val="Trebuchet MS"/>
        <family val="2"/>
      </rPr>
      <t xml:space="preserve"> =</t>
    </r>
  </si>
  <si>
    <t>LPG Prover Volume Determinations At The Designated Reference Temperature</t>
  </si>
  <si>
    <t>LPG Volume Determinations At The Designated Reference Temperature And 100 psig</t>
  </si>
  <si>
    <t>NIST HB 105-4 Tolerance =</t>
  </si>
  <si>
    <r>
      <t>Prover Volume = V</t>
    </r>
    <r>
      <rPr>
        <i/>
        <vertAlign val="subscript"/>
        <sz val="14"/>
        <rFont val="Times New Roman"/>
        <family val="1"/>
      </rPr>
      <t>XtrefX</t>
    </r>
    <r>
      <rPr>
        <i/>
        <sz val="14"/>
        <rFont val="Times New Roman"/>
        <family val="1"/>
      </rPr>
      <t xml:space="preserve"> - gauge reading</t>
    </r>
  </si>
  <si>
    <t xml:space="preserve"> Unknown vessel scale reading
 @ 100 psig</t>
  </si>
  <si>
    <r>
      <t>(V</t>
    </r>
    <r>
      <rPr>
        <vertAlign val="subscript"/>
        <sz val="10"/>
        <rFont val="Trebuchet MS"/>
        <family val="2"/>
      </rPr>
      <t>S</t>
    </r>
    <r>
      <rPr>
        <sz val="10"/>
        <rFont val="Trebuchet MS"/>
        <family val="2"/>
      </rPr>
      <t>) Delivered Volume of the standard(s)</t>
    </r>
  </si>
  <si>
    <t>Designated Reference Temperature For This Calibration (ºF)</t>
  </si>
  <si>
    <t>Volume at the Reference Temperature</t>
  </si>
  <si>
    <t>Designated Reference Temperature For This Calibration (ºC)</t>
  </si>
  <si>
    <t>Designated Reference Temperature (ºC) =</t>
  </si>
  <si>
    <t>Prover volume at reference temperature and 0 psig</t>
  </si>
  <si>
    <t>Include a Pressure Correction Table 1 and Chart with your Report of Calibration for the owner/user
to use during their testing of LPG Meters (see the Report spreadsheet).</t>
  </si>
  <si>
    <t>Tolerance =</t>
  </si>
  <si>
    <t>STATE OF WASHINGTON</t>
  </si>
  <si>
    <t>DEPARTMENT OF AGRICULTURE</t>
  </si>
  <si>
    <t>Weights and Measures Program Metrology Laboratory</t>
  </si>
  <si>
    <t>2747 29th Avenue Southwest • Tumwater, Washington 98512-6104</t>
  </si>
  <si>
    <t>REPORT OF CALIBRATION</t>
  </si>
  <si>
    <t>Issued To:</t>
  </si>
  <si>
    <t>Point of Contact:</t>
  </si>
  <si>
    <t>Purchase Order Number:</t>
  </si>
  <si>
    <t>This is to certify that the information contained in this report is true and correct as of the date of calibration.</t>
  </si>
  <si>
    <t>Date of Issue</t>
  </si>
  <si>
    <t>WSDA Weights and Measures Metrology Laboratory</t>
  </si>
  <si>
    <t>Artifact(s) Description</t>
  </si>
  <si>
    <t>Test Item:</t>
  </si>
  <si>
    <t>Date Received:</t>
  </si>
  <si>
    <t>Specification:</t>
  </si>
  <si>
    <t>Serial Number:</t>
  </si>
  <si>
    <t>Manufacture:</t>
  </si>
  <si>
    <t>Material:</t>
  </si>
  <si>
    <t>Calibration Information</t>
  </si>
  <si>
    <t>Metrologist:</t>
  </si>
  <si>
    <t>Temperature:</t>
  </si>
  <si>
    <t>Procedure:</t>
  </si>
  <si>
    <t>Humidity:</t>
  </si>
  <si>
    <t>Condition:</t>
  </si>
  <si>
    <t>Water Temperature:</t>
  </si>
  <si>
    <t>Laboratory Reference Standards Used</t>
  </si>
  <si>
    <t>Cert. Number</t>
  </si>
  <si>
    <t>Cal Date</t>
  </si>
  <si>
    <t>Cal Due</t>
  </si>
  <si>
    <t>Pertinent Information</t>
  </si>
  <si>
    <t>● The results listed in this report relate only to the artifacts described and extent of calibrations performed.</t>
  </si>
  <si>
    <r>
      <t xml:space="preserve">Ph (360) 753-5043 • Fax (360) 586-4728 • e-mail </t>
    </r>
    <r>
      <rPr>
        <b/>
        <i/>
        <sz val="8"/>
        <color indexed="12"/>
        <rFont val="Trebuchet MS"/>
        <family val="2"/>
      </rPr>
      <t>dwright@agr.wa.gov</t>
    </r>
  </si>
  <si>
    <r>
      <t xml:space="preserve">● The artifact is considered in-tolerance when the error is equal to or less than the specified tolerance minus the measurement uncertainty. </t>
    </r>
    <r>
      <rPr>
        <b/>
        <i/>
        <sz val="10"/>
        <rFont val="Trebuchet MS"/>
        <family val="2"/>
      </rPr>
      <t>Bold Italic</t>
    </r>
    <r>
      <rPr>
        <sz val="10"/>
        <rFont val="Trebuchet MS"/>
        <family val="2"/>
      </rPr>
      <t xml:space="preserve"> print indicates an out-of-tolerance reading.</t>
    </r>
  </si>
  <si>
    <t>NIST HB 105-4</t>
  </si>
  <si>
    <t>Calibration Results</t>
  </si>
  <si>
    <t>The artifact(s) described in this report have been compared to the Standards of the State of Washington. The Standards of the State of Washington are traceable to the National Institute of Standards and Technology (NIST) and are part of a comprehensive measurement assurance program for ensuring continued accuracy and measurement traceability within the level of uncertainty reported by this laboratory. The report number for this report is the only unique report number to be used in referencing measurement traceability for the artifact(s) described in this report.</t>
  </si>
  <si>
    <t xml:space="preserve">● In-accordance-with ISO/IEC FDIS 17025, General Requirements for the Competence of Testing and Calibration Laboratories, paragraph 5.10.4.4 ‘A calibration certificate (or calibration label) shall not contain any recommendation on the calibration interval except where this has been agreed with the client. This requirement may be superseded by legal regulations.’ </t>
  </si>
  <si>
    <r>
      <t>●</t>
    </r>
    <r>
      <rPr>
        <sz val="7"/>
        <color indexed="8"/>
        <rFont val="Trebuchet MS"/>
        <family val="2"/>
      </rPr>
      <t xml:space="preserve">  </t>
    </r>
    <r>
      <rPr>
        <sz val="10"/>
        <color indexed="8"/>
        <rFont val="Trebuchet MS"/>
        <family val="2"/>
      </rPr>
      <t>In-accordance-with Washington Administrative Code (WAC) Chapter 16-663, Service Agents -- Reporting, Test Procedures, Standards And Calibration Of Weighing And Measuring Devices, Section 16-663-130, Adequacy of standards and submission of standards for certification, paragraph 2, ‘… All standards used for servicing, repairing and/or calibrating commercial weighing and measuring devices must be submitted at least every two years for examination and certification…’</t>
    </r>
  </si>
  <si>
    <t>●  The calibration item was calibrated in a "wet down" condition using water. The calibration data above applies when the prover is drained for a 30 (± 5) second period after cessation of the main flow.</t>
  </si>
  <si>
    <t>¹Gauge scale was adjusted for nominal volume at 100 psig.</t>
  </si>
  <si>
    <t>²Gauge scale could not be adjusted or did not need to be adjusted.</t>
  </si>
  <si>
    <t>Material CCE:</t>
  </si>
  <si>
    <t>Volume differences between the water level and the reference mark on the standard where the subscripts 1, 2,…,N, represent each delivery as above. If the water level is below the reference line, Δ is negative. If the water level is above the reference lin</t>
  </si>
  <si>
    <r>
      <t>(t</t>
    </r>
    <r>
      <rPr>
        <vertAlign val="subscript"/>
        <sz val="10"/>
        <rFont val="Trebuchet MS"/>
        <family val="2"/>
      </rPr>
      <t>S</t>
    </r>
    <r>
      <rPr>
        <sz val="10"/>
        <rFont val="Trebuchet MS"/>
        <family val="2"/>
      </rPr>
      <t>) Temperature of water in the standard</t>
    </r>
  </si>
  <si>
    <t>Job Order #:</t>
  </si>
  <si>
    <t>Dan Wright, State Metrologist</t>
  </si>
  <si>
    <t>Start</t>
  </si>
  <si>
    <t>Finish</t>
  </si>
  <si>
    <t>Normal Barometric Pressure for Location of Calibration (mm Hg)</t>
  </si>
  <si>
    <t>Customer ID</t>
  </si>
  <si>
    <t>Date</t>
  </si>
  <si>
    <t>Test Number</t>
  </si>
  <si>
    <t>Start Humidity (% RH)</t>
  </si>
  <si>
    <t>Finish Humidity (% RH)</t>
  </si>
  <si>
    <t>Start Air Temp. (ºC)</t>
  </si>
  <si>
    <t>Finish Air Temp. (ºC)</t>
  </si>
  <si>
    <r>
      <t>Water Temp. (</t>
    </r>
    <r>
      <rPr>
        <sz val="10"/>
        <rFont val="Trebuchet MS"/>
        <family val="2"/>
      </rPr>
      <t>Trial 1</t>
    </r>
    <r>
      <rPr>
        <sz val="11"/>
        <rFont val="Trebuchet MS"/>
        <family val="2"/>
      </rPr>
      <t>) (ºC)</t>
    </r>
  </si>
  <si>
    <r>
      <t>Water Temp. (</t>
    </r>
    <r>
      <rPr>
        <sz val="10"/>
        <rFont val="Trebuchet MS"/>
        <family val="2"/>
      </rPr>
      <t>Trial 2</t>
    </r>
    <r>
      <rPr>
        <sz val="11"/>
        <rFont val="Trebuchet MS"/>
        <family val="2"/>
      </rPr>
      <t>) (ºC)</t>
    </r>
  </si>
  <si>
    <t>Measurement Evaluation</t>
  </si>
  <si>
    <t>Plot on Control Chart</t>
  </si>
  <si>
    <t>Measurement Control Calculation</t>
  </si>
  <si>
    <t>0.02 % of measure Volume =</t>
  </si>
  <si>
    <t xml:space="preserve">Std. Dev. of the Trials = </t>
  </si>
  <si>
    <r>
      <t>(u</t>
    </r>
    <r>
      <rPr>
        <vertAlign val="subscript"/>
        <sz val="10"/>
        <rFont val="Trebuchet MS"/>
        <family val="2"/>
      </rPr>
      <t>S</t>
    </r>
    <r>
      <rPr>
        <sz val="10"/>
        <rFont val="Trebuchet MS"/>
        <family val="2"/>
      </rPr>
      <t>) Uncertainty of standard(s), V</t>
    </r>
    <r>
      <rPr>
        <vertAlign val="subscript"/>
        <sz val="10"/>
        <rFont val="Trebuchet MS"/>
        <family val="2"/>
      </rPr>
      <t>S</t>
    </r>
    <r>
      <rPr>
        <sz val="10"/>
        <rFont val="Trebuchet MS"/>
        <family val="2"/>
      </rPr>
      <t>, from calibration report, normal distribution, k =1</t>
    </r>
  </si>
  <si>
    <r>
      <t>(u</t>
    </r>
    <r>
      <rPr>
        <vertAlign val="subscript"/>
        <sz val="10"/>
        <rFont val="Trebuchet MS"/>
        <family val="2"/>
      </rPr>
      <t>sp</t>
    </r>
    <r>
      <rPr>
        <sz val="10"/>
        <rFont val="Trebuchet MS"/>
        <family val="2"/>
      </rPr>
      <t>) Uncertainty associated with the measurement process an R-Chart, normal distribution</t>
    </r>
  </si>
  <si>
    <r>
      <t>(u</t>
    </r>
    <r>
      <rPr>
        <vertAlign val="subscript"/>
        <sz val="10"/>
        <rFont val="Trebuchet MS"/>
        <family val="2"/>
      </rPr>
      <t>α</t>
    </r>
    <r>
      <rPr>
        <sz val="10"/>
        <rFont val="Trebuchet MS"/>
        <family val="2"/>
      </rPr>
      <t>) NBS Report 10 081, Uncertainties in the calibration of large vessels, p. 10 (0.000009 /ºC or 0.000005 /ºF), uniform distribution</t>
    </r>
  </si>
  <si>
    <r>
      <t>(u</t>
    </r>
    <r>
      <rPr>
        <vertAlign val="subscript"/>
        <sz val="10"/>
        <rFont val="Trebuchet MS"/>
        <family val="2"/>
      </rPr>
      <t>β</t>
    </r>
    <r>
      <rPr>
        <sz val="10"/>
        <rFont val="Trebuchet MS"/>
        <family val="2"/>
      </rPr>
      <t>) NBS Report 10 081, Uncertainties in the calibration of large vessels, p. 10 (0.000009 /ºC or 0.000005 /ºF), uniform distribution</t>
    </r>
  </si>
  <si>
    <r>
      <t>(u</t>
    </r>
    <r>
      <rPr>
        <vertAlign val="subscript"/>
        <sz val="10"/>
        <rFont val="Trebuchet MS"/>
        <family val="2"/>
      </rPr>
      <t>tS</t>
    </r>
    <r>
      <rPr>
        <sz val="10"/>
        <rFont val="Trebuchet MS"/>
        <family val="2"/>
      </rPr>
      <t>) Accuracy for thermometer used for measuring water temperature (NIST IR 7383, SOP 19, accurate to ± 0.1 ºC), uniform distribution</t>
    </r>
  </si>
  <si>
    <r>
      <t>(u</t>
    </r>
    <r>
      <rPr>
        <vertAlign val="subscript"/>
        <sz val="10"/>
        <rFont val="Trebuchet MS"/>
        <family val="2"/>
      </rPr>
      <t>tX</t>
    </r>
    <r>
      <rPr>
        <sz val="10"/>
        <rFont val="Trebuchet MS"/>
        <family val="2"/>
      </rPr>
      <t>) Accuracy for thermometer used for measuring water temperature (NIST IR 7383, SOP 19, accurate to ± 0.1 ºC), uniform distribution</t>
    </r>
  </si>
  <si>
    <r>
      <t>(u</t>
    </r>
    <r>
      <rPr>
        <vertAlign val="subscript"/>
        <sz val="10"/>
        <rFont val="Trebuchet MS"/>
        <family val="2"/>
      </rPr>
      <t>ρwS</t>
    </r>
    <r>
      <rPr>
        <sz val="10"/>
        <rFont val="Trebuchet MS"/>
        <family val="2"/>
      </rPr>
      <t>) Combined standard uncertainty of the Patterson Morris equation, [J. Res., NIST 97, 335 (1992), 10ppm  (0.0000 10 g/cm³)], and possible uncorrected systematic error, k = 1</t>
    </r>
  </si>
  <si>
    <r>
      <t>(u</t>
    </r>
    <r>
      <rPr>
        <vertAlign val="subscript"/>
        <sz val="10"/>
        <rFont val="Trebuchet MS"/>
        <family val="2"/>
      </rPr>
      <t>ρwX</t>
    </r>
    <r>
      <rPr>
        <sz val="10"/>
        <rFont val="Trebuchet MS"/>
        <family val="2"/>
      </rPr>
      <t>) Combined standard uncertainty of the Patterson Morris equation, [J. Res., NIST 97, 335 (1992), 10ppm  (0.0000 10 g/cm³)], and possible uncorrected systematic error, k = 1</t>
    </r>
  </si>
  <si>
    <r>
      <t>(u</t>
    </r>
    <r>
      <rPr>
        <vertAlign val="subscript"/>
        <sz val="10"/>
        <rFont val="Trebuchet MS"/>
        <family val="2"/>
      </rPr>
      <t>Sr</t>
    </r>
    <r>
      <rPr>
        <sz val="10"/>
        <rFont val="Trebuchet MS"/>
        <family val="2"/>
      </rPr>
      <t>) Uncertainty associated with reading the meniscus of the standard(s), for each transfer, and unknown vessel, 1/4 of smallest division of neck scale, NIST SP 250-72, March 24, 2006, uniform distribution</t>
    </r>
  </si>
  <si>
    <t>Uncertainties</t>
  </si>
  <si>
    <t>Initials</t>
  </si>
  <si>
    <t>DAW</t>
  </si>
  <si>
    <t>Updated uncertainty analysis to new format.</t>
  </si>
  <si>
    <t>Major revision. Updated to Kragten uncertainty spreadsheet, added tolerances, added metric vessel capability, etc.</t>
  </si>
  <si>
    <t>Updated water density formula to the Patterson/Morris equation.</t>
  </si>
  <si>
    <t>Updated water density formula to the Patterson/Morris equation on the 'Uncertainty Analysis' worksheet.</t>
  </si>
  <si>
    <t>Made suggested changed from NIST, WMD. Revised pressure measurements.</t>
  </si>
  <si>
    <t>Updated uncertainty analysis.</t>
  </si>
  <si>
    <t>Corrected Z60 formula on 'Uncertainty Analysis' workdheet.</t>
  </si>
  <si>
    <t>Removed unnecessary information on 'NSCV Data Entry' worksheet.</t>
  </si>
  <si>
    <t>Complete revision.</t>
  </si>
  <si>
    <t>Changed reference to ASTM 674 to ASTM 694 on 'Uncertainty Analysis' worksheet.</t>
  </si>
  <si>
    <t>Deleted uncertainty for viscosity and added statement to report of calibration.</t>
  </si>
  <si>
    <t>Deleted note about standard reference temperature.</t>
  </si>
  <si>
    <t>Reformatted standards tables, corrected errors in 'LPG Data Entry' worksheet.</t>
  </si>
  <si>
    <t>Fixed conditional formating in uncertainty test on the 'Calculations' worksheet.</t>
  </si>
  <si>
    <t>Rounded water density formulas to 8 places, revised tolerance evaluation, and revised 'NSCV Data Entry' worksheet.</t>
  </si>
  <si>
    <t>Revised 'NSCV Data Entry' worksheet.</t>
  </si>
  <si>
    <t>Removed 'NSCV Data Entry' worksheet.</t>
  </si>
  <si>
    <t>Added 'Control Data' worksheet, removed 'Standards' worksheet, reformated vlookup formulas to global standards workbooks, and revised 'Documentation' worksheet.</t>
  </si>
  <si>
    <t>Color coded data entry cells. Edited all comments.</t>
  </si>
  <si>
    <t>Added Standards Used table on Data Entry worksheet.</t>
  </si>
  <si>
    <t>Standards Used</t>
  </si>
  <si>
    <t>Standard Item ID</t>
  </si>
  <si>
    <t>Report Number</t>
  </si>
  <si>
    <t>Calibration Date</t>
  </si>
  <si>
    <t>Calibration Due</t>
  </si>
  <si>
    <t>NISTIR 7383, SOP 21</t>
  </si>
  <si>
    <t>The combined standard uncertainty includes uncertainties reported for the standard, uncertainties associated with the measurement process,  uncertainties for any observed deviations from reference values which are less than surveillance limits, and other uncertainties associated with the particular artifact (i.e., material cubical coefficient of expansion, reading meniscus, etc.). The combined standard uncertainty is multiplied by k, a coverage factor of 2, to give the expanded uncertainty (which defines an interval with an approximate 95 percent level of confidence). The expanded uncertainty presented in this report is consistent with NIST Technical Note 1297.</t>
  </si>
  <si>
    <t>Range Names</t>
  </si>
  <si>
    <t>No.</t>
  </si>
  <si>
    <t>Workbook Information</t>
  </si>
  <si>
    <t>Created workbook.</t>
  </si>
  <si>
    <t>Added Information worksheet.</t>
  </si>
  <si>
    <t>Validated links</t>
  </si>
  <si>
    <t>Validated workbook, file name "WA2009-10-30 WAMRF-014 (Rev. 20), SOP 21 Workbook V&amp;V.pdf". Electronic copies in laboratory computer C:\ drive and agency server H:\ drive and paper copy in laboratory files.</t>
  </si>
  <si>
    <t>_unc1</t>
  </si>
  <si>
    <t>='LPG Prover Data Entry'!$I$35</t>
  </si>
  <si>
    <t>_unc2</t>
  </si>
  <si>
    <t>='LPG Prover Data Entry'!$I$36</t>
  </si>
  <si>
    <t>_unc3</t>
  </si>
  <si>
    <t>='LPG Prover Data Entry'!$I$37</t>
  </si>
  <si>
    <t>_unc4</t>
  </si>
  <si>
    <t>='LPG Prover Data Entry'!$I$38</t>
  </si>
  <si>
    <t>a_1</t>
  </si>
  <si>
    <t>='LPG Prover Data Entry'!$H$35</t>
  </si>
  <si>
    <t>a_2</t>
  </si>
  <si>
    <t>='LPG Prover Data Entry'!$H$36</t>
  </si>
  <si>
    <t>a_3</t>
  </si>
  <si>
    <t>='LPG Prover Data Entry'!$H$37</t>
  </si>
  <si>
    <t>a_4</t>
  </si>
  <si>
    <t>='LPG Prover Data Entry'!$H$38</t>
  </si>
  <si>
    <t>Address_1</t>
  </si>
  <si>
    <t>='LPG Prover Data Entry'!$C$5</t>
  </si>
  <si>
    <t>AirTemp</t>
  </si>
  <si>
    <t>AirTemp_F</t>
  </si>
  <si>
    <t>answer.list</t>
  </si>
  <si>
    <t>='Tables &amp; Lists'!$G$14:$G$15</t>
  </si>
  <si>
    <t>AsFound</t>
  </si>
  <si>
    <t>=Calculations!$E$64</t>
  </si>
  <si>
    <t>AsLeft</t>
  </si>
  <si>
    <t>=Calculations!$E$65</t>
  </si>
  <si>
    <t>='LPG Prover Data Entry'!$I$13</t>
  </si>
  <si>
    <t>Cal_Date</t>
  </si>
  <si>
    <t>CCE.Table</t>
  </si>
  <si>
    <t>='Tables &amp; Lists'!$D$5:$E$7</t>
  </si>
  <si>
    <t>Condition</t>
  </si>
  <si>
    <t>='LPG Prover Data Entry'!$C$14</t>
  </si>
  <si>
    <t>CustomerID</t>
  </si>
  <si>
    <t>='LPG Prover Data Entry'!$J$4</t>
  </si>
  <si>
    <t>d2.Table</t>
  </si>
  <si>
    <t>='LPG Prover Data Entry'!$C$10</t>
  </si>
  <si>
    <t>drops1</t>
  </si>
  <si>
    <t>='LPG Prover Data Entry'!$D$35</t>
  </si>
  <si>
    <t>drops2</t>
  </si>
  <si>
    <t>='LPG Prover Data Entry'!$D$36</t>
  </si>
  <si>
    <t>drops3</t>
  </si>
  <si>
    <t>='LPG Prover Data Entry'!$D$37</t>
  </si>
  <si>
    <t>drops4</t>
  </si>
  <si>
    <t>='LPG Prover Data Entry'!$D$38</t>
  </si>
  <si>
    <t>grads1</t>
  </si>
  <si>
    <t>='LPG Prover Data Entry'!$G$35</t>
  </si>
  <si>
    <t>grads2</t>
  </si>
  <si>
    <t>='LPG Prover Data Entry'!$G$36</t>
  </si>
  <si>
    <t>grads3</t>
  </si>
  <si>
    <t>='LPG Prover Data Entry'!$G$37</t>
  </si>
  <si>
    <t>grads4</t>
  </si>
  <si>
    <t>='LPG Prover Data Entry'!$G$38</t>
  </si>
  <si>
    <t>Humidity</t>
  </si>
  <si>
    <t>Humidity_F</t>
  </si>
  <si>
    <t>increment</t>
  </si>
  <si>
    <t>='LPG Prover Data Entry'!$J$12</t>
  </si>
  <si>
    <t>interval</t>
  </si>
  <si>
    <t>='LPG Prover Data Entry'!$J$19</t>
  </si>
  <si>
    <t>intervalQ</t>
  </si>
  <si>
    <t>='LPG Prover Data Entry'!$F$19</t>
  </si>
  <si>
    <t>k_1</t>
  </si>
  <si>
    <t>='LPG Prover Data Entry'!$J$35</t>
  </si>
  <si>
    <t>k_2</t>
  </si>
  <si>
    <t>='LPG Prover Data Entry'!$J$36</t>
  </si>
  <si>
    <t>k_3</t>
  </si>
  <si>
    <t>='LPG Prover Data Entry'!$J$37</t>
  </si>
  <si>
    <t>k_4</t>
  </si>
  <si>
    <t>='LPG Prover Data Entry'!$J$38</t>
  </si>
  <si>
    <t>='LPG Prover Data Entry'!$C$13</t>
  </si>
  <si>
    <t>Material.list</t>
  </si>
  <si>
    <t>='Tables &amp; Lists'!$D$5:$D$7</t>
  </si>
  <si>
    <t>MFG</t>
  </si>
  <si>
    <t>='LPG Prover Data Entry'!$C$11</t>
  </si>
  <si>
    <t>mmHg</t>
  </si>
  <si>
    <t>='LPG Prover Data Entry'!$J$16</t>
  </si>
  <si>
    <t>Nom_Val</t>
  </si>
  <si>
    <t>='LPG Prover Data Entry'!$J$11</t>
  </si>
  <si>
    <t>NomVal.list</t>
  </si>
  <si>
    <t>='Tables &amp; Lists'!$G$17:$G$18</t>
  </si>
  <si>
    <t>NomValUnit</t>
  </si>
  <si>
    <t>='LPG Prover Data Entry'!$G$11</t>
  </si>
  <si>
    <t>NVLAP</t>
  </si>
  <si>
    <t>='LPG Prover Data Entry'!$I$18</t>
  </si>
  <si>
    <t>PO.No</t>
  </si>
  <si>
    <t>='LPG Prover Data Entry'!$H$5</t>
  </si>
  <si>
    <t>POC.Name</t>
  </si>
  <si>
    <t>='LPG Prover Data Entry'!$H$6</t>
  </si>
  <si>
    <t>POC.Phone</t>
  </si>
  <si>
    <t>='LPG Prover Data Entry'!$H$7</t>
  </si>
  <si>
    <t>PooledSD</t>
  </si>
  <si>
    <t>='LPG Prover Data Entry'!$I$17</t>
  </si>
  <si>
    <t>Print_Titles</t>
  </si>
  <si>
    <t>ProverTempCorr</t>
  </si>
  <si>
    <t>='LPG Prover Data Entry'!$E$43</t>
  </si>
  <si>
    <t>Range.Unit</t>
  </si>
  <si>
    <t>='LPG Prover Data Entry'!$A$17</t>
  </si>
  <si>
    <t>RangeMean.list</t>
  </si>
  <si>
    <t>='Tables &amp; Lists'!$G$9:$G$12</t>
  </si>
  <si>
    <t>RefT</t>
  </si>
  <si>
    <t>='LPG Prover Data Entry'!$J$15</t>
  </si>
  <si>
    <t>RefTemp.list</t>
  </si>
  <si>
    <t>='Tables &amp; Lists'!$G$20:$G$21</t>
  </si>
  <si>
    <t>RefTempUnit</t>
  </si>
  <si>
    <t>='LPG Prover Data Entry'!$A$15</t>
  </si>
  <si>
    <t>ReportedUnc</t>
  </si>
  <si>
    <t>='Uncertainty Analysis'!$F$91</t>
  </si>
  <si>
    <t>Rmean</t>
  </si>
  <si>
    <t>Rnd.Factor</t>
  </si>
  <si>
    <t>=Calculations!$E$61</t>
  </si>
  <si>
    <t>Rnd.Table</t>
  </si>
  <si>
    <t>='Tables &amp; Lists'!$A$4:$B$32</t>
  </si>
  <si>
    <t>RptNo</t>
  </si>
  <si>
    <t>Scale.list</t>
  </si>
  <si>
    <t>='Tables &amp; Lists'!$G$4:$G$7</t>
  </si>
  <si>
    <t>Scale.Unit</t>
  </si>
  <si>
    <t>='LPG Prover Data Entry'!$G$12</t>
  </si>
  <si>
    <t>SealNoBottom</t>
  </si>
  <si>
    <t>SealNoTop</t>
  </si>
  <si>
    <t>SN</t>
  </si>
  <si>
    <t>='LPG Prover Data Entry'!$C$12</t>
  </si>
  <si>
    <t>Standards.Table</t>
  </si>
  <si>
    <t>='LPG Prover Data Entry'!$A$34:$J$38</t>
  </si>
  <si>
    <t>StdTempCorr</t>
  </si>
  <si>
    <t>='LPG Prover Data Entry'!$E$42</t>
  </si>
  <si>
    <t>t_1</t>
  </si>
  <si>
    <t>t_2</t>
  </si>
  <si>
    <t>Tech</t>
  </si>
  <si>
    <t>Tolerance</t>
  </si>
  <si>
    <t>=Calculations!$E$63</t>
  </si>
  <si>
    <t>U60.1</t>
  </si>
  <si>
    <t>=Calculations!$E$21</t>
  </si>
  <si>
    <t>U60.2</t>
  </si>
  <si>
    <t>=Calculations!$J$21</t>
  </si>
  <si>
    <t>Unc</t>
  </si>
  <si>
    <t>=Calculations!$E$66</t>
  </si>
  <si>
    <t>V_1</t>
  </si>
  <si>
    <t>='LPG Prover Data Entry'!$E$35</t>
  </si>
  <si>
    <t>V_2</t>
  </si>
  <si>
    <t>='LPG Prover Data Entry'!$E$36</t>
  </si>
  <si>
    <t>V_3</t>
  </si>
  <si>
    <t>='LPG Prover Data Entry'!$E$37</t>
  </si>
  <si>
    <t>V_4</t>
  </si>
  <si>
    <t>='LPG Prover Data Entry'!$E$38</t>
  </si>
  <si>
    <t>WODate</t>
  </si>
  <si>
    <t>='LPG Prover Data Entry'!$I$10</t>
  </si>
  <si>
    <t>Z60.1</t>
  </si>
  <si>
    <t>=Calculations!$E$27</t>
  </si>
  <si>
    <t>Z60.2</t>
  </si>
  <si>
    <t>=Calculations!$E$28</t>
  </si>
  <si>
    <t>This workbook must be validated after any changes or modifications.</t>
  </si>
  <si>
    <t>Validate all links and ranges after any changes and during annual reviews.</t>
  </si>
  <si>
    <t>This workbook was developed by Dan Wright, Washington State Department of Agriculture Metrology Laboratory. It follows the procedure documented in NISTIR 7383, SOP 21. NIST/WMD has evaluated this spreadsheet and provided useful feedback in its development.</t>
  </si>
  <si>
    <t>Tech Initials</t>
  </si>
  <si>
    <t>NIST HB 105-4 Criteria: The expanded uncertainty for calibration must be less than 0.2 % of the measured volume.</t>
  </si>
  <si>
    <t>NIST HB 105-4 Criteria: The maximum permissible errors shall be ± 0.2 % of the nominal capacity.</t>
  </si>
  <si>
    <t>NIST HB 105-4 Criteria: Must be capable of repeating within 0.02 % of the test volume.</t>
  </si>
  <si>
    <t>Updated criteria for tolerance and uncertainty evaluations on the "Calculations' sheet to NIST HB 105-4(2010) specifications.</t>
  </si>
  <si>
    <t>Validated workbook, file name "WA2010-03-26 WAMRF-014 (Rev. 21), SOP 21 Workbook V&amp;V.pdf". Electronic copies in laboratory computer C:\ drive and agency server H:\ drive and paper copy in laboratory files.</t>
  </si>
  <si>
    <t>='LPG Prover Data Entry'!$D$46</t>
  </si>
  <si>
    <t>='LPG Prover Data Entry'!$D$99</t>
  </si>
  <si>
    <t>='LPG Prover Data Entry'!$C$20</t>
  </si>
  <si>
    <t>=Calculations!$A$77:$C$106</t>
  </si>
  <si>
    <t>='LPG Prover Data Entry'!$G$46</t>
  </si>
  <si>
    <t>='LPG Prover Data Entry'!$G$99</t>
  </si>
  <si>
    <t>=Information!$6:$7</t>
  </si>
  <si>
    <t>='LPG Prover Data Entry'!$H$1</t>
  </si>
  <si>
    <t>='LPG Prover Data Entry'!$I$96</t>
  </si>
  <si>
    <t>='LPG Prover Data Entry'!$D$96</t>
  </si>
  <si>
    <t>='LPG Prover Data Entry'!$E$73</t>
  </si>
  <si>
    <t>='LPG Prover Data Entry'!$J$73</t>
  </si>
  <si>
    <t>='LPG Prover Data Entry'!$F$20</t>
  </si>
  <si>
    <t>Removed NSCV value. The neck scale either meets the new specification tolerances or it is rejected.</t>
  </si>
  <si>
    <t>Accreditation LOGO</t>
  </si>
  <si>
    <r>
      <t xml:space="preserve">Accredited by the </t>
    </r>
    <r>
      <rPr>
        <sz val="8"/>
        <color indexed="10"/>
        <rFont val="Trebuchet MS"/>
        <family val="2"/>
      </rPr>
      <t>Accreditation Authority</t>
    </r>
    <r>
      <rPr>
        <sz val="8"/>
        <rFont val="Trebuchet MS"/>
        <family val="2"/>
      </rPr>
      <t xml:space="preserve"> for the specific scope of accreditation under lab code XXXXXX-X. This report may not be used to claim product endorsement by </t>
    </r>
    <r>
      <rPr>
        <sz val="8"/>
        <color indexed="10"/>
        <rFont val="Trebuchet MS"/>
        <family val="2"/>
      </rPr>
      <t>Accreditation Authority</t>
    </r>
    <r>
      <rPr>
        <sz val="8"/>
        <rFont val="Trebuchet MS"/>
        <family val="2"/>
      </rPr>
      <t xml:space="preserve"> or any other government agency, and may not be reproduced, except in full, without written approval from the laboratory.</t>
    </r>
  </si>
  <si>
    <r>
      <t xml:space="preserve">Accredited by the </t>
    </r>
    <r>
      <rPr>
        <sz val="10"/>
        <color indexed="10"/>
        <rFont val="Trebuchet MS"/>
        <family val="2"/>
      </rPr>
      <t>Accredition Authority</t>
    </r>
    <r>
      <rPr>
        <sz val="10"/>
        <rFont val="Trebuchet MS"/>
        <family val="2"/>
      </rPr>
      <t xml:space="preserve"> for the specified scope of accreditation under lab code XXXXXX-X. This laboratory meets the requirements of ISO/IEC 17025 and ANSI/NCSL Z540-1.</t>
    </r>
  </si>
  <si>
    <r>
      <t xml:space="preserve">The worksheets are password protected. Password is </t>
    </r>
    <r>
      <rPr>
        <sz val="12"/>
        <color indexed="10"/>
        <rFont val="Trebuchet MS"/>
        <family val="2"/>
      </rPr>
      <t>metrology</t>
    </r>
    <r>
      <rPr>
        <sz val="12"/>
        <rFont val="Trebuchet MS"/>
        <family val="2"/>
      </rPr>
      <t>. You should protect each sheet with your own unique password. Place a password hint here so you don't forget it. Password hint is: "</t>
    </r>
    <r>
      <rPr>
        <sz val="12"/>
        <color indexed="10"/>
        <rFont val="Trebuchet MS"/>
        <family val="2"/>
      </rPr>
      <t>?</t>
    </r>
    <r>
      <rPr>
        <sz val="12"/>
        <rFont val="Trebuchet MS"/>
        <family val="2"/>
      </rPr>
      <t>"</t>
    </r>
  </si>
  <si>
    <t>Modify the report pages with your laboratory and accredition authority information.</t>
  </si>
  <si>
    <t>Modify the footer information on the report sheets and the header information on all other sheets if you want to use your own form number for the template.</t>
  </si>
  <si>
    <t>LPG Prover</t>
  </si>
  <si>
    <t>Prover Drain Time/Method</t>
  </si>
  <si>
    <t>The drain time to bottom zero was:</t>
  </si>
  <si>
    <t>minute(s)</t>
  </si>
  <si>
    <t>seconds(s)</t>
  </si>
  <si>
    <t>The prover was drained using:</t>
  </si>
  <si>
    <t>●  The drain time (using ) to the bottom zero was approximately  minute(s)  seconds.</t>
  </si>
</sst>
</file>

<file path=xl/styles.xml><?xml version="1.0" encoding="utf-8"?>
<styleSheet xmlns="http://schemas.openxmlformats.org/spreadsheetml/2006/main">
  <numFmts count="25">
    <numFmt numFmtId="5" formatCode="&quot;$&quot;#,##0_);\(&quot;$&quot;#,##0\)"/>
    <numFmt numFmtId="164" formatCode="General_)"/>
    <numFmt numFmtId="165" formatCode="0.0000000_)"/>
    <numFmt numFmtId="166" formatCode="0.000000_)"/>
    <numFmt numFmtId="167" formatCode=";;"/>
    <numFmt numFmtId="168" formatCode="0.000"/>
    <numFmt numFmtId="169" formatCode="0.000000"/>
    <numFmt numFmtId="170" formatCode="[$-409]mmmm\ d\,\ yyyy;@"/>
    <numFmt numFmtId="171" formatCode="0.000\ 000\ 000"/>
    <numFmt numFmtId="172" formatCode="0.0##\ ###"/>
    <numFmt numFmtId="174" formatCode="0.0##\ ###\ ###"/>
    <numFmt numFmtId="175" formatCode="0.0##\ ###\ ###\ ###"/>
    <numFmt numFmtId="176" formatCode="0.000000000000"/>
    <numFmt numFmtId="177" formatCode="###\ ##0"/>
    <numFmt numFmtId="178" formatCode="###\ ##0.0##\ ###\ ###"/>
    <numFmt numFmtId="179" formatCode="#,##0.0##\ ###"/>
    <numFmt numFmtId="180" formatCode="###,##0.0##\ ###\ ###"/>
    <numFmt numFmtId="181" formatCode="0.00000"/>
    <numFmt numFmtId="182" formatCode="0.0##\ ###\ "/>
    <numFmt numFmtId="183" formatCode="0.0%"/>
    <numFmt numFmtId="184" formatCode="0.0##\ ###%"/>
    <numFmt numFmtId="185" formatCode="0.0##\ ###_)"/>
    <numFmt numFmtId="186" formatCode="0.0##\ "/>
    <numFmt numFmtId="187" formatCode="0000"/>
    <numFmt numFmtId="188" formatCode="mm/dd/yyyy"/>
  </numFmts>
  <fonts count="111">
    <font>
      <sz val="12"/>
      <name val="Helv"/>
    </font>
    <font>
      <i/>
      <sz val="10"/>
      <name val="Arial"/>
      <family val="2"/>
    </font>
    <font>
      <sz val="10"/>
      <name val="Arial"/>
      <family val="2"/>
    </font>
    <font>
      <sz val="12"/>
      <name val="Times New Roman"/>
      <family val="1"/>
    </font>
    <font>
      <sz val="10"/>
      <name val="Times New Roman"/>
      <family val="1"/>
    </font>
    <font>
      <b/>
      <i/>
      <sz val="12"/>
      <name val="Times New Roman"/>
      <family val="1"/>
    </font>
    <font>
      <sz val="10"/>
      <name val="Arial"/>
      <family val="2"/>
    </font>
    <font>
      <sz val="18"/>
      <name val="Arial"/>
      <family val="2"/>
    </font>
    <font>
      <sz val="12"/>
      <name val="Arial"/>
      <family val="2"/>
    </font>
    <font>
      <sz val="12"/>
      <name val="Times New Roman"/>
      <family val="1"/>
    </font>
    <font>
      <b/>
      <sz val="12"/>
      <name val="Times New Roman"/>
      <family val="1"/>
    </font>
    <font>
      <sz val="12"/>
      <name val="Helv"/>
    </font>
    <font>
      <sz val="10"/>
      <name val="Arial"/>
      <family val="2"/>
    </font>
    <font>
      <i/>
      <sz val="10"/>
      <name val="Arial"/>
      <family val="2"/>
    </font>
    <font>
      <sz val="10"/>
      <name val="Courier"/>
      <family val="3"/>
    </font>
    <font>
      <sz val="9"/>
      <name val="Tahoma"/>
      <family val="2"/>
    </font>
    <font>
      <sz val="10"/>
      <name val="Tahoma"/>
      <family val="2"/>
    </font>
    <font>
      <sz val="11"/>
      <name val="Times New Roman"/>
      <family val="1"/>
    </font>
    <font>
      <b/>
      <sz val="11"/>
      <name val="Times New Roman"/>
      <family val="1"/>
    </font>
    <font>
      <sz val="8"/>
      <name val="Helv"/>
    </font>
    <font>
      <sz val="12"/>
      <name val="Arial"/>
      <family val="2"/>
    </font>
    <font>
      <u/>
      <sz val="10"/>
      <color indexed="12"/>
      <name val="Arial"/>
      <family val="2"/>
    </font>
    <font>
      <sz val="8"/>
      <name val="Arial"/>
      <family val="2"/>
    </font>
    <font>
      <sz val="12"/>
      <color indexed="12"/>
      <name val="Times New Roman"/>
      <family val="1"/>
    </font>
    <font>
      <b/>
      <sz val="8"/>
      <color indexed="8"/>
      <name val="Times New Roman"/>
      <family val="1"/>
    </font>
    <font>
      <sz val="8"/>
      <color indexed="8"/>
      <name val="Times New Roman"/>
      <family val="1"/>
    </font>
    <font>
      <u/>
      <sz val="8"/>
      <color indexed="12"/>
      <name val="Arial"/>
      <family val="2"/>
    </font>
    <font>
      <i/>
      <sz val="11"/>
      <name val="Times New Roman"/>
      <family val="1"/>
    </font>
    <font>
      <sz val="12"/>
      <name val="Trebuchet MS"/>
      <family val="2"/>
    </font>
    <font>
      <b/>
      <sz val="12"/>
      <name val="Trebuchet MS"/>
      <family val="2"/>
    </font>
    <font>
      <sz val="11"/>
      <name val="Trebuchet MS"/>
      <family val="2"/>
    </font>
    <font>
      <sz val="16"/>
      <name val="Trebuchet MS"/>
      <family val="2"/>
    </font>
    <font>
      <sz val="12"/>
      <name val="Tahoma"/>
      <family val="2"/>
    </font>
    <font>
      <sz val="10"/>
      <name val="Trebuchet MS"/>
      <family val="2"/>
    </font>
    <font>
      <sz val="11"/>
      <name val="Tahoma"/>
      <family val="2"/>
    </font>
    <font>
      <i/>
      <sz val="10"/>
      <name val="Trebuchet MS"/>
      <family val="2"/>
    </font>
    <font>
      <vertAlign val="subscript"/>
      <sz val="10"/>
      <name val="Trebuchet MS"/>
      <family val="2"/>
    </font>
    <font>
      <sz val="9"/>
      <name val="Trebuchet MS"/>
      <family val="2"/>
    </font>
    <font>
      <b/>
      <i/>
      <sz val="10"/>
      <name val="Trebuchet MS"/>
      <family val="2"/>
    </font>
    <font>
      <b/>
      <sz val="10"/>
      <name val="Trebuchet MS"/>
      <family val="2"/>
    </font>
    <font>
      <i/>
      <sz val="12"/>
      <name val="Trebuchet MS"/>
      <family val="2"/>
    </font>
    <font>
      <sz val="12"/>
      <color indexed="22"/>
      <name val="Helv"/>
    </font>
    <font>
      <i/>
      <sz val="11"/>
      <name val="Tahoma"/>
      <family val="2"/>
    </font>
    <font>
      <i/>
      <vertAlign val="subscript"/>
      <sz val="10"/>
      <name val="Trebuchet MS"/>
      <family val="2"/>
    </font>
    <font>
      <vertAlign val="superscript"/>
      <sz val="10"/>
      <name val="Trebuchet MS"/>
      <family val="2"/>
    </font>
    <font>
      <b/>
      <sz val="11"/>
      <color indexed="18"/>
      <name val="Tahoma"/>
      <family val="2"/>
    </font>
    <font>
      <sz val="8"/>
      <name val="Trebuchet MS"/>
      <family val="2"/>
    </font>
    <font>
      <b/>
      <i/>
      <sz val="10"/>
      <color indexed="10"/>
      <name val="Trebuchet MS"/>
      <family val="2"/>
    </font>
    <font>
      <sz val="14"/>
      <name val="Trebuchet MS"/>
      <family val="2"/>
    </font>
    <font>
      <sz val="10.5"/>
      <name val="Tahoma"/>
      <family val="2"/>
    </font>
    <font>
      <i/>
      <sz val="10"/>
      <name val="Tahoma"/>
      <family val="2"/>
    </font>
    <font>
      <sz val="8"/>
      <name val="Times New Roman"/>
      <family val="1"/>
    </font>
    <font>
      <vertAlign val="subscript"/>
      <sz val="11"/>
      <name val="Times New Roman"/>
      <family val="1"/>
    </font>
    <font>
      <vertAlign val="superscript"/>
      <sz val="10"/>
      <name val="Tahoma"/>
      <family val="2"/>
    </font>
    <font>
      <sz val="10"/>
      <color indexed="10"/>
      <name val="Trebuchet MS"/>
      <family val="2"/>
    </font>
    <font>
      <b/>
      <i/>
      <sz val="12"/>
      <name val="Trebuchet MS"/>
      <family val="2"/>
    </font>
    <font>
      <sz val="28"/>
      <name val="Webdings"/>
      <family val="1"/>
      <charset val="2"/>
    </font>
    <font>
      <i/>
      <vertAlign val="subscript"/>
      <sz val="11"/>
      <name val="Tahoma"/>
      <family val="2"/>
    </font>
    <font>
      <b/>
      <u/>
      <sz val="12"/>
      <name val="Trebuchet MS"/>
      <family val="2"/>
    </font>
    <font>
      <b/>
      <i/>
      <sz val="11"/>
      <name val="Trebuchet MS"/>
      <family val="2"/>
    </font>
    <font>
      <b/>
      <i/>
      <sz val="9"/>
      <name val="Trebuchet MS"/>
      <family val="2"/>
    </font>
    <font>
      <sz val="10"/>
      <name val="MS Sans Serif"/>
      <family val="2"/>
    </font>
    <font>
      <sz val="10"/>
      <color indexed="12"/>
      <name val="Trebuchet MS"/>
      <family val="2"/>
    </font>
    <font>
      <sz val="10"/>
      <color indexed="61"/>
      <name val="Trebuchet MS"/>
      <family val="2"/>
    </font>
    <font>
      <sz val="11"/>
      <color indexed="12"/>
      <name val="Tahoma"/>
      <family val="2"/>
    </font>
    <font>
      <sz val="11"/>
      <color indexed="61"/>
      <name val="Tahoma"/>
      <family val="2"/>
    </font>
    <font>
      <sz val="11"/>
      <color indexed="61"/>
      <name val="Trebuchet MS"/>
      <family val="2"/>
    </font>
    <font>
      <sz val="11"/>
      <color indexed="10"/>
      <name val="Trebuchet MS"/>
      <family val="2"/>
    </font>
    <font>
      <sz val="11"/>
      <color indexed="12"/>
      <name val="Trebuchet MS"/>
      <family val="2"/>
    </font>
    <font>
      <i/>
      <sz val="11"/>
      <name val="Trebuchet MS"/>
      <family val="2"/>
    </font>
    <font>
      <i/>
      <vertAlign val="subscript"/>
      <sz val="11"/>
      <name val="Trebuchet MS"/>
      <family val="2"/>
    </font>
    <font>
      <i/>
      <sz val="11"/>
      <color indexed="61"/>
      <name val="Trebuchet MS"/>
      <family val="2"/>
    </font>
    <font>
      <i/>
      <vertAlign val="subscript"/>
      <sz val="11"/>
      <color indexed="61"/>
      <name val="Trebuchet MS"/>
      <family val="2"/>
    </font>
    <font>
      <sz val="10"/>
      <color indexed="8"/>
      <name val="Arial"/>
      <family val="2"/>
    </font>
    <font>
      <vertAlign val="subscript"/>
      <sz val="10"/>
      <color indexed="10"/>
      <name val="Trebuchet MS"/>
      <family val="2"/>
    </font>
    <font>
      <sz val="11"/>
      <color indexed="12"/>
      <name val="Arial"/>
      <family val="2"/>
    </font>
    <font>
      <sz val="10"/>
      <color indexed="61"/>
      <name val="Tahoma"/>
      <family val="2"/>
    </font>
    <font>
      <b/>
      <sz val="10"/>
      <name val="Arial"/>
      <family val="2"/>
    </font>
    <font>
      <sz val="10"/>
      <color indexed="12"/>
      <name val="Tahoma"/>
      <family val="2"/>
    </font>
    <font>
      <b/>
      <i/>
      <vertAlign val="subscript"/>
      <sz val="9"/>
      <name val="Trebuchet MS"/>
      <family val="2"/>
    </font>
    <font>
      <b/>
      <i/>
      <sz val="9"/>
      <name val="Arial"/>
      <family val="2"/>
    </font>
    <font>
      <b/>
      <vertAlign val="subscript"/>
      <sz val="10"/>
      <name val="Trebuchet MS"/>
      <family val="2"/>
    </font>
    <font>
      <b/>
      <sz val="9"/>
      <name val="Trebuchet MS"/>
      <family val="2"/>
    </font>
    <font>
      <b/>
      <vertAlign val="superscript"/>
      <sz val="9"/>
      <name val="Trebuchet MS"/>
      <family val="2"/>
    </font>
    <font>
      <sz val="10"/>
      <color indexed="10"/>
      <name val="Tahoma"/>
      <family val="2"/>
    </font>
    <font>
      <i/>
      <sz val="10"/>
      <color indexed="10"/>
      <name val="Trebuchet MS"/>
      <family val="2"/>
    </font>
    <font>
      <i/>
      <vertAlign val="subscript"/>
      <sz val="10"/>
      <color indexed="10"/>
      <name val="Trebuchet MS"/>
      <family val="2"/>
    </font>
    <font>
      <vertAlign val="superscript"/>
      <sz val="10"/>
      <color indexed="10"/>
      <name val="Trebuchet MS"/>
      <family val="2"/>
    </font>
    <font>
      <sz val="8"/>
      <color indexed="12"/>
      <name val="Tahoma"/>
      <family val="2"/>
    </font>
    <font>
      <b/>
      <i/>
      <vertAlign val="subscript"/>
      <sz val="9"/>
      <color indexed="12"/>
      <name val="Trebuchet MS"/>
      <family val="2"/>
    </font>
    <font>
      <b/>
      <i/>
      <sz val="9"/>
      <color indexed="12"/>
      <name val="Trebuchet MS"/>
      <family val="2"/>
    </font>
    <font>
      <i/>
      <sz val="14"/>
      <name val="Times New Roman"/>
      <family val="1"/>
    </font>
    <font>
      <i/>
      <vertAlign val="subscript"/>
      <sz val="14"/>
      <name val="Times New Roman"/>
      <family val="1"/>
    </font>
    <font>
      <b/>
      <sz val="9"/>
      <color indexed="17"/>
      <name val="Lucida Sans Unicode"/>
      <family val="2"/>
    </font>
    <font>
      <sz val="14"/>
      <color indexed="17"/>
      <name val="Lucida Sans Unicode"/>
      <family val="2"/>
    </font>
    <font>
      <sz val="12"/>
      <color indexed="17"/>
      <name val="Lucida Sans Unicode"/>
      <family val="2"/>
    </font>
    <font>
      <b/>
      <i/>
      <sz val="9"/>
      <color indexed="17"/>
      <name val="Trebuchet MS"/>
      <family val="2"/>
    </font>
    <font>
      <b/>
      <i/>
      <sz val="8"/>
      <color indexed="12"/>
      <name val="Trebuchet MS"/>
      <family val="2"/>
    </font>
    <font>
      <b/>
      <i/>
      <sz val="8"/>
      <color indexed="17"/>
      <name val="Trebuchet MS"/>
      <family val="2"/>
    </font>
    <font>
      <sz val="18"/>
      <name val="Trebuchet MS"/>
      <family val="2"/>
    </font>
    <font>
      <b/>
      <u/>
      <sz val="10"/>
      <name val="Trebuchet MS"/>
      <family val="2"/>
    </font>
    <font>
      <b/>
      <u/>
      <sz val="11"/>
      <name val="Trebuchet MS"/>
      <family val="2"/>
    </font>
    <font>
      <b/>
      <sz val="11"/>
      <name val="Trebuchet MS"/>
      <family val="2"/>
    </font>
    <font>
      <sz val="10"/>
      <color indexed="8"/>
      <name val="Trebuchet MS"/>
      <family val="2"/>
    </font>
    <font>
      <sz val="7"/>
      <color indexed="8"/>
      <name val="Trebuchet MS"/>
      <family val="2"/>
    </font>
    <font>
      <sz val="14"/>
      <color indexed="8"/>
      <name val="Trebuchet MS"/>
      <family val="2"/>
    </font>
    <font>
      <b/>
      <sz val="8"/>
      <color indexed="10"/>
      <name val="Trebuchet MS"/>
      <family val="2"/>
    </font>
    <font>
      <sz val="12"/>
      <name val="Trebuchet MS"/>
      <family val="2"/>
    </font>
    <font>
      <sz val="12"/>
      <color indexed="10"/>
      <name val="Trebuchet MS"/>
      <family val="2"/>
    </font>
    <font>
      <sz val="8"/>
      <color indexed="10"/>
      <name val="Trebuchet MS"/>
      <family val="2"/>
    </font>
    <font>
      <sz val="12"/>
      <color rgb="FFFF0000"/>
      <name val="Trebuchet MS"/>
      <family val="2"/>
    </font>
  </fonts>
  <fills count="20">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indexed="43"/>
        <bgColor indexed="64"/>
      </patternFill>
    </fill>
    <fill>
      <patternFill patternType="solid">
        <fgColor indexed="11"/>
        <bgColor indexed="64"/>
      </patternFill>
    </fill>
    <fill>
      <patternFill patternType="solid">
        <fgColor indexed="8"/>
        <bgColor indexed="64"/>
      </patternFill>
    </fill>
    <fill>
      <patternFill patternType="solid">
        <fgColor indexed="9"/>
        <bgColor indexed="64"/>
      </patternFill>
    </fill>
    <fill>
      <patternFill patternType="mediumGray">
        <fgColor indexed="47"/>
        <bgColor indexed="9"/>
      </patternFill>
    </fill>
    <fill>
      <patternFill patternType="solid">
        <fgColor indexed="45"/>
        <bgColor indexed="64"/>
      </patternFill>
    </fill>
    <fill>
      <patternFill patternType="gray0625">
        <fgColor indexed="22"/>
        <bgColor indexed="9"/>
      </patternFill>
    </fill>
    <fill>
      <patternFill patternType="solid">
        <fgColor indexed="46"/>
        <bgColor indexed="64"/>
      </patternFill>
    </fill>
    <fill>
      <patternFill patternType="solid">
        <fgColor indexed="22"/>
        <bgColor indexed="64"/>
      </patternFill>
    </fill>
    <fill>
      <patternFill patternType="solid">
        <fgColor theme="2"/>
        <bgColor indexed="64"/>
      </patternFill>
    </fill>
    <fill>
      <gradientFill degree="90">
        <stop position="0">
          <color theme="0"/>
        </stop>
        <stop position="1">
          <color theme="4"/>
        </stop>
      </gradientFill>
    </fill>
    <fill>
      <gradientFill degree="90">
        <stop position="0">
          <color theme="0"/>
        </stop>
        <stop position="1">
          <color theme="6" tint="-0.25098422193060094"/>
        </stop>
      </gradientFill>
    </fill>
    <fill>
      <gradientFill degree="90">
        <stop position="0">
          <color theme="0"/>
        </stop>
        <stop position="1">
          <color theme="5" tint="0.40000610370189521"/>
        </stop>
      </gradientFill>
    </fill>
    <fill>
      <patternFill patternType="solid">
        <fgColor rgb="FFEAEAEA"/>
        <bgColor indexed="64"/>
      </patternFill>
    </fill>
    <fill>
      <patternFill patternType="gray0625">
        <fgColor indexed="22"/>
        <bgColor theme="2"/>
      </patternFill>
    </fill>
  </fills>
  <borders count="69">
    <border>
      <left/>
      <right/>
      <top/>
      <bottom/>
      <diagonal/>
    </border>
    <border>
      <left/>
      <right/>
      <top style="double">
        <color indexed="24"/>
      </top>
      <bottom/>
      <diagonal/>
    </border>
    <border>
      <left/>
      <right/>
      <top/>
      <bottom style="medium">
        <color indexed="64"/>
      </bottom>
      <diagonal/>
    </border>
    <border>
      <left style="thin">
        <color indexed="64"/>
      </left>
      <right style="hair">
        <color indexed="64"/>
      </right>
      <top style="hair">
        <color indexed="64"/>
      </top>
      <bottom style="hair">
        <color indexed="64"/>
      </bottom>
      <diagonal/>
    </border>
    <border>
      <left/>
      <right/>
      <top style="medium">
        <color indexed="64"/>
      </top>
      <bottom style="dotted">
        <color indexed="64"/>
      </bottom>
      <diagonal/>
    </border>
    <border>
      <left/>
      <right/>
      <top style="medium">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bottom style="dotted">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right/>
      <top/>
      <bottom style="hair">
        <color indexed="64"/>
      </bottom>
      <diagonal/>
    </border>
    <border>
      <left/>
      <right/>
      <top/>
      <bottom style="thin">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hair">
        <color indexed="64"/>
      </top>
      <bottom/>
      <diagonal/>
    </border>
    <border>
      <left/>
      <right style="hair">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top style="medium">
        <color indexed="64"/>
      </top>
      <bottom style="hair">
        <color indexed="64"/>
      </bottom>
      <diagonal/>
    </border>
    <border>
      <left style="hair">
        <color indexed="64"/>
      </left>
      <right/>
      <top/>
      <bottom/>
      <diagonal/>
    </border>
    <border>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right/>
      <top style="dotted">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s>
  <cellStyleXfs count="21">
    <xf numFmtId="164" fontId="0" fillId="0" borderId="0"/>
    <xf numFmtId="3" fontId="6" fillId="0" borderId="0" applyFont="0" applyFill="0" applyBorder="0" applyAlignment="0" applyProtection="0">
      <alignment vertical="top"/>
    </xf>
    <xf numFmtId="5" fontId="6" fillId="0" borderId="0" applyFont="0" applyFill="0" applyBorder="0" applyAlignment="0" applyProtection="0">
      <alignment vertical="top"/>
    </xf>
    <xf numFmtId="0" fontId="6" fillId="0" borderId="0" applyFont="0" applyFill="0" applyBorder="0" applyAlignment="0" applyProtection="0">
      <alignment vertical="top"/>
    </xf>
    <xf numFmtId="2" fontId="6" fillId="0" borderId="0" applyFont="0" applyFill="0" applyBorder="0" applyAlignment="0" applyProtection="0">
      <alignment vertical="top"/>
    </xf>
    <xf numFmtId="0" fontId="7" fillId="0" borderId="0" applyNumberFormat="0" applyFill="0" applyBorder="0" applyAlignment="0" applyProtection="0">
      <alignment vertical="top"/>
    </xf>
    <xf numFmtId="0" fontId="8" fillId="0" borderId="0" applyNumberFormat="0" applyFill="0" applyBorder="0" applyAlignment="0" applyProtection="0">
      <alignment vertical="top"/>
    </xf>
    <xf numFmtId="0" fontId="21" fillId="0" borderId="0" applyNumberFormat="0" applyFill="0" applyBorder="0" applyAlignment="0" applyProtection="0">
      <alignment vertical="top"/>
      <protection locked="0"/>
    </xf>
    <xf numFmtId="0" fontId="2" fillId="0" borderId="0"/>
    <xf numFmtId="0" fontId="2" fillId="0" borderId="0"/>
    <xf numFmtId="0" fontId="14" fillId="0" borderId="0"/>
    <xf numFmtId="0" fontId="2" fillId="0" borderId="0"/>
    <xf numFmtId="0" fontId="61" fillId="0" borderId="0"/>
    <xf numFmtId="164" fontId="14" fillId="0" borderId="0"/>
    <xf numFmtId="0" fontId="2" fillId="0" borderId="0"/>
    <xf numFmtId="0" fontId="2" fillId="0" borderId="0"/>
    <xf numFmtId="164" fontId="11" fillId="0" borderId="0"/>
    <xf numFmtId="0" fontId="2" fillId="0" borderId="0"/>
    <xf numFmtId="0" fontId="9" fillId="0" borderId="0"/>
    <xf numFmtId="9" fontId="2" fillId="0" borderId="0" applyFont="0" applyFill="0" applyBorder="0" applyAlignment="0" applyProtection="0"/>
    <xf numFmtId="0" fontId="6" fillId="0" borderId="1" applyNumberFormat="0" applyFont="0" applyFill="0" applyAlignment="0" applyProtection="0">
      <alignment vertical="top"/>
    </xf>
  </cellStyleXfs>
  <cellXfs count="707">
    <xf numFmtId="164" fontId="0" fillId="0" borderId="0" xfId="0"/>
    <xf numFmtId="0" fontId="3" fillId="0" borderId="2" xfId="8" quotePrefix="1" applyFont="1" applyBorder="1" applyAlignment="1">
      <alignment horizontal="right"/>
    </xf>
    <xf numFmtId="0" fontId="2" fillId="0" borderId="0" xfId="8"/>
    <xf numFmtId="0" fontId="3" fillId="0" borderId="0" xfId="8" applyFont="1"/>
    <xf numFmtId="0" fontId="2" fillId="0" borderId="2" xfId="8" applyBorder="1"/>
    <xf numFmtId="0" fontId="3" fillId="0" borderId="2" xfId="8" applyFont="1" applyBorder="1"/>
    <xf numFmtId="0" fontId="2" fillId="0" borderId="0" xfId="8" applyBorder="1"/>
    <xf numFmtId="166" fontId="3" fillId="0" borderId="0" xfId="8" applyNumberFormat="1" applyFont="1"/>
    <xf numFmtId="0" fontId="2" fillId="0" borderId="0" xfId="8" applyAlignment="1">
      <alignment horizontal="fill"/>
    </xf>
    <xf numFmtId="165" fontId="3" fillId="0" borderId="2" xfId="8" applyNumberFormat="1" applyFont="1" applyBorder="1"/>
    <xf numFmtId="164" fontId="5" fillId="0" borderId="0" xfId="0" applyFont="1" applyBorder="1" applyAlignment="1">
      <alignment horizontal="right"/>
    </xf>
    <xf numFmtId="14" fontId="5" fillId="0" borderId="0" xfId="8" quotePrefix="1" applyNumberFormat="1" applyFont="1" applyBorder="1" applyAlignment="1">
      <alignment horizontal="left"/>
    </xf>
    <xf numFmtId="0" fontId="1" fillId="0" borderId="0" xfId="8" applyFont="1"/>
    <xf numFmtId="0" fontId="3" fillId="0" borderId="2" xfId="8" quotePrefix="1" applyFont="1" applyBorder="1" applyAlignment="1">
      <alignment horizontal="left"/>
    </xf>
    <xf numFmtId="166" fontId="2" fillId="0" borderId="2" xfId="8" applyNumberFormat="1" applyBorder="1"/>
    <xf numFmtId="0" fontId="12" fillId="0" borderId="0" xfId="8" applyFont="1"/>
    <xf numFmtId="0" fontId="13" fillId="0" borderId="0" xfId="8" applyFont="1"/>
    <xf numFmtId="0" fontId="12" fillId="0" borderId="0" xfId="8" applyFont="1" applyAlignment="1">
      <alignment horizontal="fill"/>
    </xf>
    <xf numFmtId="0" fontId="2" fillId="0" borderId="0" xfId="8" applyFont="1"/>
    <xf numFmtId="0" fontId="2" fillId="0" borderId="0" xfId="14"/>
    <xf numFmtId="49" fontId="12" fillId="0" borderId="0" xfId="8" applyNumberFormat="1" applyFont="1" applyAlignment="1">
      <alignment horizontal="center"/>
    </xf>
    <xf numFmtId="164" fontId="16" fillId="0" borderId="0" xfId="13" applyFont="1"/>
    <xf numFmtId="164" fontId="16" fillId="0" borderId="0" xfId="13" applyFont="1" applyBorder="1"/>
    <xf numFmtId="0" fontId="2" fillId="0" borderId="0" xfId="8" applyFont="1" applyAlignment="1">
      <alignment horizontal="right"/>
    </xf>
    <xf numFmtId="168" fontId="15" fillId="0" borderId="0" xfId="13" applyNumberFormat="1" applyFont="1" applyBorder="1"/>
    <xf numFmtId="0" fontId="3" fillId="0" borderId="0" xfId="11" applyFont="1" applyProtection="1"/>
    <xf numFmtId="0" fontId="3" fillId="0" borderId="0" xfId="11" applyFont="1" applyBorder="1" applyProtection="1"/>
    <xf numFmtId="0" fontId="3" fillId="0" borderId="0" xfId="10" applyFont="1" applyBorder="1" applyProtection="1"/>
    <xf numFmtId="0" fontId="3" fillId="0" borderId="0" xfId="10" applyFont="1" applyProtection="1"/>
    <xf numFmtId="0" fontId="18" fillId="0" borderId="0" xfId="10" applyFont="1" applyAlignment="1" applyProtection="1">
      <alignment horizontal="left"/>
    </xf>
    <xf numFmtId="0" fontId="17" fillId="0" borderId="0" xfId="10" applyFont="1" applyProtection="1"/>
    <xf numFmtId="14" fontId="17" fillId="0" borderId="0" xfId="10" quotePrefix="1" applyNumberFormat="1" applyFont="1" applyProtection="1"/>
    <xf numFmtId="0" fontId="17" fillId="0" borderId="0" xfId="11" applyFont="1" applyProtection="1"/>
    <xf numFmtId="14" fontId="3" fillId="0" borderId="0" xfId="10" quotePrefix="1" applyNumberFormat="1" applyFont="1" applyProtection="1"/>
    <xf numFmtId="0" fontId="3" fillId="0" borderId="0" xfId="10" applyFont="1" applyAlignment="1" applyProtection="1">
      <alignment horizontal="left"/>
    </xf>
    <xf numFmtId="0" fontId="3" fillId="0" borderId="0" xfId="10" quotePrefix="1" applyFont="1" applyAlignment="1" applyProtection="1">
      <alignment horizontal="left"/>
    </xf>
    <xf numFmtId="0" fontId="4" fillId="0" borderId="0" xfId="10" applyFont="1" applyAlignment="1" applyProtection="1">
      <alignment horizontal="right"/>
    </xf>
    <xf numFmtId="0" fontId="3" fillId="0" borderId="0" xfId="10" applyFont="1" applyAlignment="1" applyProtection="1">
      <alignment horizontal="right"/>
    </xf>
    <xf numFmtId="0" fontId="23" fillId="0" borderId="0" xfId="10" applyFont="1" applyProtection="1"/>
    <xf numFmtId="0" fontId="4" fillId="0" borderId="0" xfId="10" applyFont="1" applyProtection="1"/>
    <xf numFmtId="164" fontId="26" fillId="0" borderId="0" xfId="7" applyNumberFormat="1" applyFont="1" applyAlignment="1" applyProtection="1">
      <alignment horizontal="right"/>
    </xf>
    <xf numFmtId="164" fontId="0" fillId="0" borderId="2" xfId="0" applyBorder="1"/>
    <xf numFmtId="0" fontId="28" fillId="0" borderId="0" xfId="14" applyFont="1" applyFill="1"/>
    <xf numFmtId="0" fontId="12" fillId="0" borderId="0" xfId="14" applyFont="1"/>
    <xf numFmtId="0" fontId="12" fillId="0" borderId="0" xfId="14" applyNumberFormat="1" applyFont="1" applyBorder="1" applyAlignment="1">
      <alignment horizontal="center"/>
    </xf>
    <xf numFmtId="0" fontId="33" fillId="0" borderId="0" xfId="8" applyFont="1" applyBorder="1" applyAlignment="1">
      <alignment horizontal="right" vertical="center"/>
    </xf>
    <xf numFmtId="0" fontId="28" fillId="0" borderId="2" xfId="9" applyFont="1" applyBorder="1" applyAlignment="1" applyProtection="1">
      <alignment vertical="center"/>
    </xf>
    <xf numFmtId="0" fontId="3" fillId="0" borderId="2" xfId="9" applyFont="1" applyBorder="1" applyAlignment="1" applyProtection="1">
      <alignment vertical="center"/>
    </xf>
    <xf numFmtId="0" fontId="33" fillId="0" borderId="3" xfId="8" applyFont="1" applyFill="1" applyBorder="1" applyAlignment="1" applyProtection="1">
      <alignment horizontal="center" vertical="center"/>
    </xf>
    <xf numFmtId="0" fontId="33" fillId="0" borderId="0" xfId="8" quotePrefix="1" applyFont="1" applyBorder="1" applyAlignment="1">
      <alignment horizontal="right" vertical="center"/>
    </xf>
    <xf numFmtId="0" fontId="28" fillId="0" borderId="2" xfId="8" applyFont="1" applyBorder="1" applyAlignment="1">
      <alignment horizontal="left"/>
    </xf>
    <xf numFmtId="0" fontId="28" fillId="0" borderId="2" xfId="8" applyFont="1" applyBorder="1" applyAlignment="1">
      <alignment horizontal="left" vertical="center"/>
    </xf>
    <xf numFmtId="0" fontId="3" fillId="0" borderId="2" xfId="8" quotePrefix="1" applyFont="1" applyBorder="1" applyAlignment="1">
      <alignment horizontal="right" vertical="center"/>
    </xf>
    <xf numFmtId="165" fontId="3" fillId="0" borderId="2" xfId="8" applyNumberFormat="1" applyFont="1" applyBorder="1" applyAlignment="1">
      <alignment vertical="center"/>
    </xf>
    <xf numFmtId="0" fontId="3" fillId="0" borderId="2" xfId="8" applyFont="1" applyBorder="1" applyAlignment="1">
      <alignment vertical="center"/>
    </xf>
    <xf numFmtId="0" fontId="3" fillId="0" borderId="2" xfId="8" quotePrefix="1" applyFont="1" applyBorder="1" applyAlignment="1">
      <alignment horizontal="left" vertical="center"/>
    </xf>
    <xf numFmtId="164" fontId="0" fillId="0" borderId="2" xfId="0" applyBorder="1" applyAlignment="1">
      <alignment vertical="center"/>
    </xf>
    <xf numFmtId="0" fontId="2" fillId="0" borderId="0" xfId="8" applyAlignment="1">
      <alignment vertical="center"/>
    </xf>
    <xf numFmtId="0" fontId="33" fillId="0" borderId="0" xfId="8" applyFont="1" applyAlignment="1">
      <alignment vertical="center"/>
    </xf>
    <xf numFmtId="0" fontId="28" fillId="0" borderId="2" xfId="8" quotePrefix="1" applyFont="1" applyBorder="1" applyAlignment="1">
      <alignment horizontal="left" vertical="center"/>
    </xf>
    <xf numFmtId="0" fontId="2" fillId="0" borderId="4" xfId="8" applyBorder="1"/>
    <xf numFmtId="0" fontId="3" fillId="0" borderId="4" xfId="8" applyFont="1" applyBorder="1"/>
    <xf numFmtId="164" fontId="0" fillId="0" borderId="4" xfId="0" applyBorder="1"/>
    <xf numFmtId="0" fontId="33" fillId="0" borderId="0" xfId="10" applyFont="1" applyBorder="1" applyAlignment="1" applyProtection="1">
      <alignment vertical="center"/>
    </xf>
    <xf numFmtId="0" fontId="35" fillId="0" borderId="0" xfId="10" applyFont="1" applyBorder="1" applyAlignment="1" applyProtection="1">
      <alignment horizontal="left" vertical="center"/>
    </xf>
    <xf numFmtId="0" fontId="3" fillId="0" borderId="0" xfId="10" applyFont="1" applyBorder="1" applyAlignment="1" applyProtection="1">
      <alignment vertical="center"/>
    </xf>
    <xf numFmtId="0" fontId="3" fillId="0" borderId="0" xfId="11" applyFont="1" applyAlignment="1" applyProtection="1">
      <alignment vertical="center"/>
    </xf>
    <xf numFmtId="0" fontId="42" fillId="0" borderId="0" xfId="10" applyFont="1" applyBorder="1" applyAlignment="1" applyProtection="1">
      <alignment horizontal="right" vertical="center"/>
    </xf>
    <xf numFmtId="0" fontId="42" fillId="0" borderId="0" xfId="10" applyFont="1" applyBorder="1" applyAlignment="1" applyProtection="1">
      <alignment horizontal="right" vertical="top"/>
    </xf>
    <xf numFmtId="164" fontId="3" fillId="0" borderId="0" xfId="0" applyFont="1" applyBorder="1" applyAlignment="1"/>
    <xf numFmtId="164" fontId="10" fillId="0" borderId="0" xfId="0" applyFont="1" applyBorder="1" applyAlignment="1">
      <alignment horizontal="center" vertical="center" wrapText="1"/>
    </xf>
    <xf numFmtId="164" fontId="42" fillId="0" borderId="0" xfId="13" applyFont="1" applyAlignment="1">
      <alignment horizontal="right"/>
    </xf>
    <xf numFmtId="164" fontId="33" fillId="0" borderId="0" xfId="13" applyFont="1"/>
    <xf numFmtId="164" fontId="28" fillId="0" borderId="2" xfId="13" applyFont="1" applyBorder="1"/>
    <xf numFmtId="164" fontId="16" fillId="0" borderId="2" xfId="13" applyFont="1" applyBorder="1"/>
    <xf numFmtId="164" fontId="33" fillId="0" borderId="0" xfId="13" applyFont="1" applyBorder="1"/>
    <xf numFmtId="174" fontId="33" fillId="0" borderId="5" xfId="8" applyNumberFormat="1" applyFont="1" applyFill="1" applyBorder="1" applyAlignment="1" applyProtection="1">
      <alignment vertical="center"/>
    </xf>
    <xf numFmtId="174" fontId="33" fillId="0" borderId="0" xfId="8" applyNumberFormat="1" applyFont="1" applyFill="1" applyBorder="1" applyAlignment="1" applyProtection="1">
      <alignment vertical="center"/>
    </xf>
    <xf numFmtId="0" fontId="28" fillId="0" borderId="0" xfId="8" applyFont="1" applyBorder="1" applyAlignment="1">
      <alignment horizontal="left"/>
    </xf>
    <xf numFmtId="0" fontId="3" fillId="0" borderId="0" xfId="8" applyFont="1" applyBorder="1"/>
    <xf numFmtId="164" fontId="0" fillId="0" borderId="0" xfId="0" applyBorder="1"/>
    <xf numFmtId="0" fontId="2" fillId="0" borderId="0" xfId="8" applyBorder="1" applyAlignment="1">
      <alignment vertical="center"/>
    </xf>
    <xf numFmtId="164" fontId="28" fillId="0" borderId="0" xfId="13" applyFont="1" applyBorder="1"/>
    <xf numFmtId="171" fontId="16" fillId="0" borderId="0" xfId="13" applyNumberFormat="1" applyFont="1" applyBorder="1"/>
    <xf numFmtId="164" fontId="3" fillId="0" borderId="0" xfId="0" applyFont="1" applyAlignment="1" applyProtection="1">
      <alignment vertical="center"/>
    </xf>
    <xf numFmtId="164" fontId="0" fillId="0" borderId="0" xfId="0" applyAlignment="1" applyProtection="1">
      <alignment vertical="center"/>
    </xf>
    <xf numFmtId="0" fontId="33" fillId="0" borderId="6" xfId="8" applyFont="1" applyFill="1" applyBorder="1" applyAlignment="1" applyProtection="1">
      <alignment horizontal="center" vertical="center" wrapText="1"/>
    </xf>
    <xf numFmtId="0" fontId="33" fillId="0" borderId="7" xfId="8" applyFont="1" applyFill="1" applyBorder="1" applyAlignment="1" applyProtection="1">
      <alignment horizontal="center" vertical="center" wrapText="1"/>
    </xf>
    <xf numFmtId="0" fontId="33" fillId="0" borderId="8" xfId="8" applyFont="1" applyFill="1" applyBorder="1" applyAlignment="1" applyProtection="1">
      <alignment horizontal="center" vertical="center" wrapText="1"/>
    </xf>
    <xf numFmtId="0" fontId="33" fillId="0" borderId="4" xfId="8" applyFont="1" applyBorder="1" applyAlignment="1">
      <alignment horizontal="right" vertical="center"/>
    </xf>
    <xf numFmtId="164" fontId="48" fillId="0" borderId="2" xfId="0" applyFont="1" applyBorder="1" applyAlignment="1"/>
    <xf numFmtId="0" fontId="28" fillId="0" borderId="2" xfId="8" applyFont="1" applyBorder="1" applyAlignment="1" applyProtection="1">
      <alignment horizontal="right" vertical="center"/>
    </xf>
    <xf numFmtId="0" fontId="48" fillId="0" borderId="2" xfId="14" applyFont="1" applyBorder="1"/>
    <xf numFmtId="0" fontId="2" fillId="0" borderId="2" xfId="14" applyBorder="1"/>
    <xf numFmtId="0" fontId="32" fillId="0" borderId="2" xfId="8" quotePrefix="1" applyFont="1" applyBorder="1" applyAlignment="1" applyProtection="1">
      <alignment horizontal="right" vertical="center"/>
    </xf>
    <xf numFmtId="0" fontId="49" fillId="0" borderId="9" xfId="13" applyNumberFormat="1" applyFont="1" applyBorder="1" applyAlignment="1" applyProtection="1">
      <alignment horizontal="center" vertical="center"/>
    </xf>
    <xf numFmtId="0" fontId="49" fillId="2" borderId="9" xfId="13" applyNumberFormat="1" applyFont="1" applyFill="1" applyBorder="1" applyAlignment="1" applyProtection="1">
      <alignment horizontal="center" vertical="center"/>
    </xf>
    <xf numFmtId="0" fontId="49" fillId="0" borderId="9" xfId="13" applyNumberFormat="1" applyFont="1" applyBorder="1" applyAlignment="1">
      <alignment horizontal="center" vertical="center"/>
    </xf>
    <xf numFmtId="0" fontId="49" fillId="0" borderId="6" xfId="13" applyNumberFormat="1" applyFont="1" applyBorder="1" applyAlignment="1" applyProtection="1">
      <alignment horizontal="center" vertical="center"/>
    </xf>
    <xf numFmtId="0" fontId="32" fillId="0" borderId="0" xfId="8" quotePrefix="1" applyFont="1" applyBorder="1" applyAlignment="1" applyProtection="1">
      <alignment horizontal="right" vertical="center"/>
    </xf>
    <xf numFmtId="0" fontId="48" fillId="0" borderId="2" xfId="18" applyFont="1" applyBorder="1" applyAlignment="1" applyProtection="1">
      <alignment vertical="center"/>
    </xf>
    <xf numFmtId="0" fontId="9" fillId="0" borderId="0" xfId="18" applyProtection="1"/>
    <xf numFmtId="0" fontId="30" fillId="0" borderId="2" xfId="18" applyFont="1" applyBorder="1" applyProtection="1"/>
    <xf numFmtId="0" fontId="9" fillId="0" borderId="2" xfId="18" applyBorder="1" applyProtection="1"/>
    <xf numFmtId="0" fontId="33" fillId="0" borderId="0" xfId="18" applyFont="1" applyAlignment="1" applyProtection="1">
      <alignment horizontal="left" vertical="center" wrapText="1"/>
    </xf>
    <xf numFmtId="0" fontId="9" fillId="0" borderId="0" xfId="18" applyAlignment="1" applyProtection="1">
      <alignment vertical="center"/>
    </xf>
    <xf numFmtId="0" fontId="42" fillId="0" borderId="0" xfId="18" applyFont="1" applyAlignment="1" applyProtection="1">
      <alignment vertical="center"/>
    </xf>
    <xf numFmtId="0" fontId="35" fillId="0" borderId="0" xfId="18" applyFont="1" applyAlignment="1" applyProtection="1">
      <alignment horizontal="center" vertical="center"/>
    </xf>
    <xf numFmtId="0" fontId="16" fillId="0" borderId="0" xfId="18" applyFont="1" applyAlignment="1" applyProtection="1">
      <alignment horizontal="right" vertical="center"/>
    </xf>
    <xf numFmtId="0" fontId="33" fillId="0" borderId="0" xfId="18" applyFont="1" applyAlignment="1" applyProtection="1">
      <alignment vertical="center"/>
    </xf>
    <xf numFmtId="0" fontId="34" fillId="0" borderId="2" xfId="18" applyFont="1" applyBorder="1" applyAlignment="1" applyProtection="1">
      <alignment vertical="center"/>
    </xf>
    <xf numFmtId="0" fontId="9" fillId="0" borderId="2" xfId="18" applyBorder="1" applyAlignment="1" applyProtection="1">
      <alignment vertical="center"/>
    </xf>
    <xf numFmtId="0" fontId="33" fillId="2" borderId="9" xfId="18" applyFont="1" applyFill="1" applyBorder="1" applyAlignment="1" applyProtection="1">
      <alignment horizontal="center" vertical="center"/>
    </xf>
    <xf numFmtId="177" fontId="49" fillId="2" borderId="9" xfId="18" applyNumberFormat="1" applyFont="1" applyFill="1" applyBorder="1" applyAlignment="1" applyProtection="1">
      <alignment horizontal="center" vertical="center"/>
    </xf>
    <xf numFmtId="0" fontId="33" fillId="0" borderId="9" xfId="18" applyFont="1" applyFill="1" applyBorder="1" applyAlignment="1" applyProtection="1">
      <alignment horizontal="center" vertical="center"/>
    </xf>
    <xf numFmtId="178" fontId="49" fillId="0" borderId="9" xfId="18" applyNumberFormat="1" applyFont="1" applyFill="1" applyBorder="1" applyAlignment="1" applyProtection="1">
      <alignment horizontal="center" vertical="center"/>
    </xf>
    <xf numFmtId="0" fontId="49" fillId="2" borderId="9" xfId="18" applyFont="1" applyFill="1" applyBorder="1" applyAlignment="1" applyProtection="1">
      <alignment horizontal="center" vertical="center"/>
    </xf>
    <xf numFmtId="0" fontId="16" fillId="0" borderId="2" xfId="18" applyFont="1" applyBorder="1" applyAlignment="1" applyProtection="1">
      <alignment vertical="center"/>
    </xf>
    <xf numFmtId="175" fontId="16" fillId="0" borderId="0" xfId="18" applyNumberFormat="1" applyFont="1" applyAlignment="1" applyProtection="1">
      <alignment vertical="center"/>
    </xf>
    <xf numFmtId="171" fontId="49" fillId="0" borderId="9" xfId="18" applyNumberFormat="1" applyFont="1" applyBorder="1" applyAlignment="1" applyProtection="1">
      <alignment horizontal="right" vertical="center" indent="1"/>
    </xf>
    <xf numFmtId="0" fontId="9" fillId="0" borderId="0" xfId="18" applyNumberFormat="1" applyAlignment="1" applyProtection="1">
      <alignment vertical="center"/>
    </xf>
    <xf numFmtId="171" fontId="49" fillId="3" borderId="9" xfId="18" applyNumberFormat="1" applyFont="1" applyFill="1" applyBorder="1" applyAlignment="1" applyProtection="1">
      <alignment horizontal="right" vertical="center" indent="1"/>
    </xf>
    <xf numFmtId="171" fontId="49" fillId="0" borderId="9" xfId="18" applyNumberFormat="1" applyFont="1" applyFill="1" applyBorder="1" applyAlignment="1" applyProtection="1">
      <alignment horizontal="right" vertical="center" indent="1"/>
    </xf>
    <xf numFmtId="176" fontId="9" fillId="0" borderId="0" xfId="18" applyNumberFormat="1" applyProtection="1"/>
    <xf numFmtId="164" fontId="33" fillId="0" borderId="0" xfId="0" applyFont="1" applyAlignment="1" applyProtection="1">
      <alignment horizontal="left" vertical="center" wrapText="1"/>
    </xf>
    <xf numFmtId="172" fontId="49" fillId="0" borderId="6" xfId="13" applyNumberFormat="1" applyFont="1" applyBorder="1" applyAlignment="1">
      <alignment horizontal="right" vertical="center" indent="1"/>
    </xf>
    <xf numFmtId="172" fontId="49" fillId="2" borderId="9" xfId="13" applyNumberFormat="1" applyFont="1" applyFill="1" applyBorder="1" applyAlignment="1">
      <alignment horizontal="right" vertical="center" indent="1"/>
    </xf>
    <xf numFmtId="172" fontId="49" fillId="0" borderId="9" xfId="13" applyNumberFormat="1" applyFont="1" applyBorder="1" applyAlignment="1">
      <alignment horizontal="right" vertical="center" indent="1"/>
    </xf>
    <xf numFmtId="171" fontId="49" fillId="0" borderId="6" xfId="18" applyNumberFormat="1" applyFont="1" applyBorder="1" applyAlignment="1" applyProtection="1">
      <alignment horizontal="right" vertical="center" indent="1"/>
    </xf>
    <xf numFmtId="0" fontId="33" fillId="0" borderId="0" xfId="18" applyFont="1" applyAlignment="1" applyProtection="1">
      <alignment horizontal="right" vertical="center"/>
    </xf>
    <xf numFmtId="0" fontId="35" fillId="0" borderId="0" xfId="18" applyFont="1" applyAlignment="1" applyProtection="1">
      <alignment vertical="center"/>
    </xf>
    <xf numFmtId="0" fontId="27" fillId="0" borderId="0" xfId="18" applyFont="1" applyAlignment="1" applyProtection="1">
      <alignment vertical="center"/>
    </xf>
    <xf numFmtId="0" fontId="38" fillId="0" borderId="10" xfId="18" applyFont="1" applyBorder="1" applyProtection="1"/>
    <xf numFmtId="164" fontId="33" fillId="0" borderId="10" xfId="0" applyFont="1" applyBorder="1" applyAlignment="1" applyProtection="1">
      <alignment horizontal="left" vertical="center" wrapText="1"/>
    </xf>
    <xf numFmtId="0" fontId="33" fillId="0" borderId="0" xfId="18" applyFont="1" applyBorder="1" applyAlignment="1" applyProtection="1">
      <alignment horizontal="left" vertical="center" wrapText="1"/>
    </xf>
    <xf numFmtId="0" fontId="9" fillId="0" borderId="10" xfId="18" applyBorder="1" applyProtection="1"/>
    <xf numFmtId="0" fontId="9" fillId="0" borderId="10" xfId="18" applyBorder="1" applyAlignment="1" applyProtection="1">
      <alignment vertical="center"/>
    </xf>
    <xf numFmtId="0" fontId="13" fillId="0" borderId="0" xfId="8" applyFont="1" applyBorder="1"/>
    <xf numFmtId="171" fontId="49" fillId="3" borderId="6" xfId="18" applyNumberFormat="1" applyFont="1" applyFill="1" applyBorder="1" applyAlignment="1" applyProtection="1">
      <alignment horizontal="right" vertical="center" indent="1"/>
    </xf>
    <xf numFmtId="164" fontId="16" fillId="0" borderId="0" xfId="0" applyFont="1"/>
    <xf numFmtId="164" fontId="56" fillId="3" borderId="11" xfId="0" applyFont="1" applyFill="1" applyBorder="1" applyAlignment="1" applyProtection="1">
      <alignment horizontal="center" vertical="center"/>
    </xf>
    <xf numFmtId="164" fontId="48" fillId="0" borderId="2" xfId="0" applyFont="1" applyBorder="1" applyAlignment="1">
      <alignment vertical="center"/>
    </xf>
    <xf numFmtId="164" fontId="31" fillId="0" borderId="2" xfId="0" applyFont="1" applyBorder="1" applyAlignment="1">
      <alignment vertical="center"/>
    </xf>
    <xf numFmtId="0" fontId="28" fillId="0" borderId="2" xfId="9" quotePrefix="1" applyFont="1" applyBorder="1" applyAlignment="1" applyProtection="1">
      <alignment horizontal="right" vertical="center"/>
    </xf>
    <xf numFmtId="164" fontId="0" fillId="0" borderId="0" xfId="0" applyAlignment="1">
      <alignment vertical="center"/>
    </xf>
    <xf numFmtId="0" fontId="2" fillId="0" borderId="0" xfId="9" applyAlignment="1" applyProtection="1">
      <alignment vertical="center"/>
    </xf>
    <xf numFmtId="0" fontId="2" fillId="0" borderId="0" xfId="9" applyAlignment="1" applyProtection="1">
      <alignment horizontal="centerContinuous" vertical="center"/>
    </xf>
    <xf numFmtId="0" fontId="3" fillId="0" borderId="0" xfId="9" applyFont="1" applyBorder="1" applyAlignment="1" applyProtection="1">
      <alignment horizontal="centerContinuous" vertical="center"/>
    </xf>
    <xf numFmtId="0" fontId="2" fillId="0" borderId="0" xfId="9" applyAlignment="1" applyProtection="1">
      <alignment vertical="center" wrapText="1"/>
    </xf>
    <xf numFmtId="0" fontId="4" fillId="0" borderId="0" xfId="9" applyFont="1" applyAlignment="1" applyProtection="1">
      <alignment vertical="center"/>
    </xf>
    <xf numFmtId="164" fontId="3" fillId="0" borderId="0" xfId="0" applyFont="1" applyBorder="1" applyAlignment="1" applyProtection="1">
      <alignment horizontal="right" vertical="center"/>
    </xf>
    <xf numFmtId="164" fontId="0" fillId="0" borderId="0" xfId="0" applyBorder="1" applyAlignment="1">
      <alignment vertical="center"/>
    </xf>
    <xf numFmtId="164" fontId="3" fillId="0" borderId="0" xfId="0" applyFont="1" applyBorder="1" applyAlignment="1" applyProtection="1">
      <alignment vertical="center"/>
    </xf>
    <xf numFmtId="164" fontId="3" fillId="0" borderId="2" xfId="0" applyFont="1" applyBorder="1" applyAlignment="1" applyProtection="1">
      <alignment vertical="center"/>
    </xf>
    <xf numFmtId="0" fontId="33" fillId="0" borderId="0" xfId="10" applyFont="1" applyBorder="1" applyAlignment="1" applyProtection="1"/>
    <xf numFmtId="164" fontId="35" fillId="0" borderId="0" xfId="13" applyFont="1" applyAlignment="1">
      <alignment horizontal="left" vertical="center"/>
    </xf>
    <xf numFmtId="164" fontId="56" fillId="4" borderId="11" xfId="0" applyFont="1" applyFill="1" applyBorder="1" applyAlignment="1" applyProtection="1">
      <alignment horizontal="center" vertical="top"/>
    </xf>
    <xf numFmtId="0" fontId="33" fillId="0" borderId="12" xfId="8" applyFont="1" applyFill="1" applyBorder="1" applyAlignment="1" applyProtection="1">
      <alignment horizontal="center" vertical="center"/>
    </xf>
    <xf numFmtId="179" fontId="16" fillId="0" borderId="13" xfId="8" applyNumberFormat="1" applyFont="1" applyFill="1" applyBorder="1" applyAlignment="1" applyProtection="1">
      <alignment horizontal="left" vertical="center"/>
    </xf>
    <xf numFmtId="0" fontId="28" fillId="0" borderId="2" xfId="8" quotePrefix="1" applyFont="1" applyBorder="1" applyAlignment="1">
      <alignment vertical="center"/>
    </xf>
    <xf numFmtId="0" fontId="33" fillId="0" borderId="0" xfId="8" applyFont="1" applyAlignment="1">
      <alignment horizontal="right" vertical="center"/>
    </xf>
    <xf numFmtId="180" fontId="34" fillId="0" borderId="0" xfId="8" applyNumberFormat="1" applyFont="1" applyBorder="1" applyAlignment="1">
      <alignment horizontal="right" vertical="center"/>
    </xf>
    <xf numFmtId="0" fontId="33" fillId="0" borderId="0" xfId="8" applyFont="1" applyAlignment="1">
      <alignment horizontal="left" vertical="center"/>
    </xf>
    <xf numFmtId="0" fontId="30" fillId="0" borderId="0" xfId="18" applyFont="1" applyBorder="1" applyProtection="1"/>
    <xf numFmtId="0" fontId="16" fillId="0" borderId="0" xfId="18" applyFont="1" applyBorder="1" applyAlignment="1" applyProtection="1">
      <alignment vertical="center"/>
    </xf>
    <xf numFmtId="0" fontId="9" fillId="0" borderId="0" xfId="18" applyBorder="1" applyAlignment="1" applyProtection="1">
      <alignment vertical="center"/>
    </xf>
    <xf numFmtId="0" fontId="9" fillId="0" borderId="0" xfId="18" applyBorder="1" applyProtection="1"/>
    <xf numFmtId="0" fontId="49" fillId="3" borderId="8" xfId="18" applyFont="1" applyFill="1" applyBorder="1" applyAlignment="1" applyProtection="1">
      <alignment horizontal="center" vertical="center"/>
    </xf>
    <xf numFmtId="0" fontId="49" fillId="0" borderId="8" xfId="18" applyFont="1" applyBorder="1" applyAlignment="1" applyProtection="1">
      <alignment horizontal="center" vertical="center"/>
    </xf>
    <xf numFmtId="0" fontId="49" fillId="3" borderId="3" xfId="18" applyFont="1" applyFill="1" applyBorder="1" applyAlignment="1" applyProtection="1">
      <alignment horizontal="center" vertical="center"/>
    </xf>
    <xf numFmtId="0" fontId="49" fillId="0" borderId="3" xfId="18" applyFont="1" applyBorder="1" applyAlignment="1" applyProtection="1">
      <alignment horizontal="center" vertical="center"/>
    </xf>
    <xf numFmtId="0" fontId="49" fillId="0" borderId="3" xfId="18" applyFont="1" applyFill="1" applyBorder="1" applyAlignment="1" applyProtection="1">
      <alignment horizontal="center" vertical="center"/>
    </xf>
    <xf numFmtId="0" fontId="49" fillId="3" borderId="14" xfId="18" applyFont="1" applyFill="1" applyBorder="1" applyAlignment="1" applyProtection="1">
      <alignment horizontal="center" vertical="center"/>
    </xf>
    <xf numFmtId="171" fontId="49" fillId="3" borderId="15" xfId="18" applyNumberFormat="1" applyFont="1" applyFill="1" applyBorder="1" applyAlignment="1" applyProtection="1">
      <alignment horizontal="right" vertical="center" indent="1"/>
    </xf>
    <xf numFmtId="171" fontId="49" fillId="0" borderId="16" xfId="18" applyNumberFormat="1" applyFont="1" applyBorder="1" applyAlignment="1" applyProtection="1">
      <alignment horizontal="right" vertical="center" indent="1"/>
    </xf>
    <xf numFmtId="171" fontId="49" fillId="3" borderId="17" xfId="18" applyNumberFormat="1" applyFont="1" applyFill="1" applyBorder="1" applyAlignment="1" applyProtection="1">
      <alignment horizontal="right" vertical="center" indent="1"/>
    </xf>
    <xf numFmtId="171" fontId="49" fillId="0" borderId="17" xfId="18" applyNumberFormat="1" applyFont="1" applyBorder="1" applyAlignment="1" applyProtection="1">
      <alignment horizontal="right" vertical="center" indent="1"/>
    </xf>
    <xf numFmtId="171" fontId="49" fillId="0" borderId="17" xfId="18" applyNumberFormat="1" applyFont="1" applyFill="1" applyBorder="1" applyAlignment="1" applyProtection="1">
      <alignment horizontal="right" vertical="center" indent="1"/>
    </xf>
    <xf numFmtId="171" fontId="49" fillId="3" borderId="18" xfId="18" applyNumberFormat="1" applyFont="1" applyFill="1" applyBorder="1" applyAlignment="1" applyProtection="1">
      <alignment horizontal="right" vertical="center" indent="1"/>
    </xf>
    <xf numFmtId="0" fontId="28" fillId="0" borderId="0" xfId="8" applyFont="1" applyBorder="1" applyAlignment="1" applyProtection="1">
      <alignment horizontal="right" vertical="center"/>
    </xf>
    <xf numFmtId="164" fontId="42" fillId="0" borderId="0" xfId="13" applyFont="1" applyAlignment="1">
      <alignment horizontal="right" vertical="top"/>
    </xf>
    <xf numFmtId="0" fontId="33" fillId="0" borderId="16" xfId="8" applyFont="1" applyFill="1" applyBorder="1" applyAlignment="1" applyProtection="1">
      <alignment horizontal="center" vertical="center" wrapText="1"/>
    </xf>
    <xf numFmtId="0" fontId="28" fillId="0" borderId="0" xfId="8" applyFont="1" applyBorder="1" applyAlignment="1">
      <alignment horizontal="left" vertical="center"/>
    </xf>
    <xf numFmtId="0" fontId="3" fillId="0" borderId="0" xfId="8" quotePrefix="1" applyFont="1" applyBorder="1" applyAlignment="1">
      <alignment horizontal="right"/>
    </xf>
    <xf numFmtId="165" fontId="3" fillId="0" borderId="0" xfId="8" applyNumberFormat="1" applyFont="1" applyBorder="1"/>
    <xf numFmtId="0" fontId="3" fillId="0" borderId="0" xfId="8" quotePrefix="1" applyFont="1" applyBorder="1" applyAlignment="1">
      <alignment horizontal="left"/>
    </xf>
    <xf numFmtId="179" fontId="16" fillId="0" borderId="19" xfId="8" applyNumberFormat="1" applyFont="1" applyFill="1" applyBorder="1" applyAlignment="1" applyProtection="1">
      <alignment horizontal="left" vertical="center"/>
    </xf>
    <xf numFmtId="164" fontId="33" fillId="0" borderId="0" xfId="0" applyFont="1" applyBorder="1" applyAlignment="1"/>
    <xf numFmtId="0" fontId="48" fillId="0" borderId="2" xfId="11" applyFont="1" applyBorder="1" applyProtection="1"/>
    <xf numFmtId="0" fontId="3" fillId="0" borderId="2" xfId="11" applyFont="1" applyBorder="1" applyProtection="1"/>
    <xf numFmtId="0" fontId="32" fillId="0" borderId="2" xfId="8" quotePrefix="1" applyFont="1" applyBorder="1" applyAlignment="1">
      <alignment horizontal="right" vertical="center"/>
    </xf>
    <xf numFmtId="0" fontId="48" fillId="0" borderId="2" xfId="11" applyFont="1" applyBorder="1" applyAlignment="1" applyProtection="1">
      <alignment horizontal="right"/>
    </xf>
    <xf numFmtId="0" fontId="28" fillId="0" borderId="2" xfId="10" applyFont="1" applyBorder="1" applyProtection="1"/>
    <xf numFmtId="0" fontId="3" fillId="0" borderId="2" xfId="10" applyFont="1" applyBorder="1" applyProtection="1"/>
    <xf numFmtId="0" fontId="32" fillId="0" borderId="0" xfId="10" applyFont="1" applyBorder="1" applyAlignment="1" applyProtection="1">
      <alignment horizontal="left" indent="1"/>
    </xf>
    <xf numFmtId="164" fontId="28" fillId="0" borderId="2" xfId="0" applyFont="1" applyBorder="1" applyAlignment="1"/>
    <xf numFmtId="164" fontId="33" fillId="0" borderId="2" xfId="0" applyFont="1" applyBorder="1" applyAlignment="1"/>
    <xf numFmtId="164" fontId="39" fillId="0" borderId="2" xfId="0" applyFont="1" applyBorder="1" applyAlignment="1">
      <alignment horizontal="center" vertical="center" wrapText="1"/>
    </xf>
    <xf numFmtId="0" fontId="33" fillId="0" borderId="2" xfId="11" applyFont="1" applyBorder="1" applyProtection="1"/>
    <xf numFmtId="0" fontId="33" fillId="0" borderId="0" xfId="11" applyFont="1" applyProtection="1"/>
    <xf numFmtId="164" fontId="64" fillId="0" borderId="7" xfId="0" applyFont="1" applyBorder="1" applyAlignment="1">
      <alignment vertical="top"/>
    </xf>
    <xf numFmtId="164" fontId="33" fillId="0" borderId="20" xfId="0" applyFont="1" applyBorder="1" applyAlignment="1">
      <alignment vertical="top"/>
    </xf>
    <xf numFmtId="164" fontId="64" fillId="0" borderId="11" xfId="0" applyFont="1" applyBorder="1" applyAlignment="1">
      <alignment vertical="top"/>
    </xf>
    <xf numFmtId="164" fontId="33" fillId="0" borderId="21" xfId="0" applyFont="1" applyBorder="1" applyAlignment="1">
      <alignment vertical="top"/>
    </xf>
    <xf numFmtId="164" fontId="64" fillId="0" borderId="0" xfId="0" applyFont="1" applyBorder="1" applyAlignment="1">
      <alignment vertical="top"/>
    </xf>
    <xf numFmtId="164" fontId="33" fillId="0" borderId="0" xfId="0" applyFont="1" applyBorder="1" applyAlignment="1">
      <alignment vertical="top"/>
    </xf>
    <xf numFmtId="164" fontId="39" fillId="0" borderId="0" xfId="0" applyFont="1" applyBorder="1" applyAlignment="1">
      <alignment horizontal="center" vertical="top" wrapText="1"/>
    </xf>
    <xf numFmtId="164" fontId="65" fillId="0" borderId="0" xfId="0" applyFont="1" applyBorder="1" applyAlignment="1">
      <alignment horizontal="center" vertical="top" wrapText="1"/>
    </xf>
    <xf numFmtId="164" fontId="33" fillId="0" borderId="0" xfId="0" applyFont="1" applyBorder="1" applyAlignment="1">
      <alignment horizontal="left" vertical="top" wrapText="1"/>
    </xf>
    <xf numFmtId="0" fontId="28" fillId="0" borderId="2" xfId="10" applyFont="1" applyBorder="1" applyAlignment="1"/>
    <xf numFmtId="0" fontId="28" fillId="0" borderId="0" xfId="10" applyFont="1" applyBorder="1" applyAlignment="1"/>
    <xf numFmtId="164" fontId="66" fillId="0" borderId="22" xfId="0" applyFont="1" applyBorder="1" applyAlignment="1">
      <alignment horizontal="center" vertical="center" wrapText="1"/>
    </xf>
    <xf numFmtId="164" fontId="67" fillId="5" borderId="22" xfId="0" applyFont="1" applyFill="1" applyBorder="1" applyAlignment="1">
      <alignment horizontal="center" vertical="center" wrapText="1"/>
    </xf>
    <xf numFmtId="164" fontId="68" fillId="5" borderId="22" xfId="0" applyFont="1" applyFill="1" applyBorder="1" applyAlignment="1">
      <alignment horizontal="center" vertical="center" wrapText="1"/>
    </xf>
    <xf numFmtId="164" fontId="66" fillId="0" borderId="22" xfId="0" applyFont="1" applyFill="1" applyBorder="1" applyAlignment="1">
      <alignment horizontal="center" vertical="center" wrapText="1"/>
    </xf>
    <xf numFmtId="164" fontId="30" fillId="6" borderId="22" xfId="0" applyFont="1" applyFill="1" applyBorder="1" applyAlignment="1">
      <alignment horizontal="center" vertical="center" wrapText="1"/>
    </xf>
    <xf numFmtId="164" fontId="73" fillId="7" borderId="23" xfId="0" applyFont="1" applyFill="1" applyBorder="1" applyAlignment="1">
      <alignment horizontal="center" vertical="center" wrapText="1"/>
    </xf>
    <xf numFmtId="0" fontId="17" fillId="0" borderId="0" xfId="11" applyFont="1"/>
    <xf numFmtId="164" fontId="54" fillId="5" borderId="6" xfId="0" applyFont="1" applyFill="1" applyBorder="1" applyAlignment="1">
      <alignment horizontal="center" vertical="center" wrapText="1"/>
    </xf>
    <xf numFmtId="182" fontId="75" fillId="5" borderId="6" xfId="0" applyNumberFormat="1" applyFont="1" applyFill="1" applyBorder="1" applyAlignment="1">
      <alignment horizontal="center" vertical="center" wrapText="1"/>
    </xf>
    <xf numFmtId="164" fontId="62" fillId="8" borderId="6" xfId="0" applyFont="1" applyFill="1" applyBorder="1" applyAlignment="1">
      <alignment horizontal="center" vertical="center" wrapText="1"/>
    </xf>
    <xf numFmtId="182" fontId="65" fillId="0" borderId="6" xfId="0" applyNumberFormat="1" applyFont="1" applyBorder="1" applyAlignment="1">
      <alignment horizontal="center" vertical="center" wrapText="1"/>
    </xf>
    <xf numFmtId="164" fontId="63" fillId="0" borderId="6" xfId="0" applyFont="1" applyFill="1" applyBorder="1" applyAlignment="1">
      <alignment horizontal="center" vertical="center" wrapText="1"/>
    </xf>
    <xf numFmtId="164" fontId="65" fillId="0" borderId="6" xfId="0" applyFont="1" applyBorder="1" applyAlignment="1">
      <alignment horizontal="center" vertical="center" wrapText="1"/>
    </xf>
    <xf numFmtId="182" fontId="34" fillId="6" borderId="6" xfId="0" applyNumberFormat="1" applyFont="1" applyFill="1" applyBorder="1" applyAlignment="1">
      <alignment horizontal="center" vertical="center" wrapText="1"/>
    </xf>
    <xf numFmtId="174" fontId="76" fillId="0" borderId="6" xfId="0" applyNumberFormat="1" applyFont="1" applyBorder="1" applyAlignment="1">
      <alignment horizontal="center" vertical="center" wrapText="1"/>
    </xf>
    <xf numFmtId="164" fontId="73" fillId="7" borderId="16" xfId="0" applyFont="1" applyFill="1" applyBorder="1" applyAlignment="1">
      <alignment horizontal="center" vertical="center" wrapText="1"/>
    </xf>
    <xf numFmtId="164" fontId="54" fillId="5" borderId="9" xfId="0" applyFont="1" applyFill="1" applyBorder="1" applyAlignment="1">
      <alignment horizontal="center" vertical="center" wrapText="1"/>
    </xf>
    <xf numFmtId="182" fontId="75" fillId="5" borderId="9" xfId="0" applyNumberFormat="1" applyFont="1" applyFill="1" applyBorder="1" applyAlignment="1">
      <alignment horizontal="center" vertical="center" wrapText="1"/>
    </xf>
    <xf numFmtId="182" fontId="65" fillId="0" borderId="9" xfId="0" applyNumberFormat="1" applyFont="1" applyBorder="1" applyAlignment="1">
      <alignment horizontal="center" vertical="center" wrapText="1"/>
    </xf>
    <xf numFmtId="164" fontId="63" fillId="0" borderId="9" xfId="0" applyFont="1" applyFill="1" applyBorder="1" applyAlignment="1">
      <alignment horizontal="center" vertical="center" wrapText="1"/>
    </xf>
    <xf numFmtId="164" fontId="65" fillId="0" borderId="9" xfId="0" applyFont="1" applyBorder="1" applyAlignment="1">
      <alignment horizontal="center" vertical="center" wrapText="1"/>
    </xf>
    <xf numFmtId="174" fontId="76" fillId="0" borderId="9" xfId="0" applyNumberFormat="1" applyFont="1" applyBorder="1" applyAlignment="1">
      <alignment horizontal="center" vertical="center" wrapText="1"/>
    </xf>
    <xf numFmtId="164" fontId="73" fillId="7" borderId="17" xfId="0" applyFont="1" applyFill="1" applyBorder="1" applyAlignment="1">
      <alignment horizontal="center" vertical="center" wrapText="1"/>
    </xf>
    <xf numFmtId="164" fontId="39" fillId="0" borderId="0" xfId="0" applyFont="1" applyBorder="1" applyAlignment="1">
      <alignment horizontal="center" vertical="center" wrapText="1"/>
    </xf>
    <xf numFmtId="176" fontId="33" fillId="6" borderId="9" xfId="12" applyNumberFormat="1" applyFont="1" applyFill="1" applyBorder="1" applyAlignment="1">
      <alignment horizontal="center" vertical="center"/>
    </xf>
    <xf numFmtId="176" fontId="33" fillId="6" borderId="9" xfId="12" applyNumberFormat="1" applyFont="1" applyFill="1" applyBorder="1" applyAlignment="1">
      <alignment horizontal="center" vertical="center" wrapText="1"/>
    </xf>
    <xf numFmtId="182" fontId="16" fillId="6" borderId="9" xfId="12" applyNumberFormat="1" applyFont="1" applyFill="1" applyBorder="1" applyAlignment="1">
      <alignment vertical="center"/>
    </xf>
    <xf numFmtId="176" fontId="77" fillId="7" borderId="9" xfId="12" applyNumberFormat="1" applyFont="1" applyFill="1" applyBorder="1" applyAlignment="1">
      <alignment horizontal="center" vertical="center"/>
    </xf>
    <xf numFmtId="2" fontId="12" fillId="7" borderId="9" xfId="12" applyNumberFormat="1" applyFont="1" applyFill="1" applyBorder="1" applyAlignment="1">
      <alignment horizontal="right" vertical="center"/>
    </xf>
    <xf numFmtId="2" fontId="12" fillId="7" borderId="9" xfId="12" applyNumberFormat="1" applyFont="1" applyFill="1" applyBorder="1" applyAlignment="1">
      <alignment vertical="center"/>
    </xf>
    <xf numFmtId="176" fontId="67" fillId="5" borderId="9" xfId="12" applyNumberFormat="1" applyFont="1" applyFill="1" applyBorder="1" applyAlignment="1">
      <alignment horizontal="center" vertical="center" wrapText="1"/>
    </xf>
    <xf numFmtId="176" fontId="68" fillId="5" borderId="9" xfId="12" applyNumberFormat="1" applyFont="1" applyFill="1" applyBorder="1" applyAlignment="1">
      <alignment horizontal="center" vertical="center" wrapText="1"/>
    </xf>
    <xf numFmtId="185" fontId="78" fillId="5" borderId="9" xfId="12" applyNumberFormat="1" applyFont="1" applyFill="1" applyBorder="1" applyAlignment="1">
      <alignment vertical="center" wrapText="1"/>
    </xf>
    <xf numFmtId="185" fontId="16" fillId="9" borderId="9" xfId="12" applyNumberFormat="1" applyFont="1" applyFill="1" applyBorder="1" applyAlignment="1">
      <alignment vertical="center"/>
    </xf>
    <xf numFmtId="185" fontId="16" fillId="8" borderId="9" xfId="12" applyNumberFormat="1" applyFont="1" applyFill="1" applyBorder="1" applyAlignment="1">
      <alignment vertical="center"/>
    </xf>
    <xf numFmtId="185" fontId="16" fillId="0" borderId="9" xfId="12" applyNumberFormat="1" applyFont="1" applyFill="1" applyBorder="1" applyAlignment="1">
      <alignment vertical="center"/>
    </xf>
    <xf numFmtId="185" fontId="16" fillId="8" borderId="9" xfId="12" applyNumberFormat="1" applyFont="1" applyFill="1" applyBorder="1" applyAlignment="1">
      <alignment vertical="center" wrapText="1"/>
    </xf>
    <xf numFmtId="185" fontId="16" fillId="9" borderId="9" xfId="12" applyNumberFormat="1" applyFont="1" applyFill="1" applyBorder="1" applyAlignment="1">
      <alignment vertical="center" wrapText="1"/>
    </xf>
    <xf numFmtId="176" fontId="33" fillId="10" borderId="9" xfId="12" applyNumberFormat="1" applyFont="1" applyFill="1" applyBorder="1" applyAlignment="1">
      <alignment horizontal="right" vertical="center"/>
    </xf>
    <xf numFmtId="185" fontId="16" fillId="10" borderId="9" xfId="12" applyNumberFormat="1" applyFont="1" applyFill="1" applyBorder="1" applyAlignment="1">
      <alignment vertical="center"/>
    </xf>
    <xf numFmtId="164" fontId="30" fillId="11" borderId="9" xfId="0" applyFont="1" applyFill="1" applyBorder="1" applyAlignment="1">
      <alignment horizontal="right" vertical="center"/>
    </xf>
    <xf numFmtId="185" fontId="16" fillId="11" borderId="9" xfId="0" applyNumberFormat="1" applyFont="1" applyFill="1" applyBorder="1" applyAlignment="1">
      <alignment vertical="center"/>
    </xf>
    <xf numFmtId="176" fontId="60" fillId="8" borderId="9" xfId="12" applyNumberFormat="1" applyFont="1" applyFill="1" applyBorder="1" applyAlignment="1">
      <alignment horizontal="center" vertical="center" wrapText="1"/>
    </xf>
    <xf numFmtId="176" fontId="38" fillId="8" borderId="9" xfId="12" applyNumberFormat="1" applyFont="1" applyFill="1" applyBorder="1" applyAlignment="1">
      <alignment horizontal="right" vertical="center"/>
    </xf>
    <xf numFmtId="176" fontId="82" fillId="8" borderId="9" xfId="12" applyNumberFormat="1" applyFont="1" applyFill="1" applyBorder="1" applyAlignment="1">
      <alignment horizontal="center" vertical="center" wrapText="1"/>
    </xf>
    <xf numFmtId="176" fontId="39" fillId="7" borderId="9" xfId="12" applyNumberFormat="1" applyFont="1" applyFill="1" applyBorder="1" applyAlignment="1">
      <alignment horizontal="right" vertical="center"/>
    </xf>
    <xf numFmtId="185" fontId="16" fillId="7" borderId="9" xfId="12" applyNumberFormat="1" applyFont="1" applyFill="1" applyBorder="1" applyAlignment="1">
      <alignment vertical="center"/>
    </xf>
    <xf numFmtId="184" fontId="84" fillId="8" borderId="9" xfId="19" applyNumberFormat="1" applyFont="1" applyFill="1" applyBorder="1" applyAlignment="1">
      <alignment horizontal="right" vertical="center"/>
    </xf>
    <xf numFmtId="183" fontId="54" fillId="8" borderId="9" xfId="19" applyNumberFormat="1" applyFont="1" applyFill="1" applyBorder="1" applyAlignment="1">
      <alignment vertical="center"/>
    </xf>
    <xf numFmtId="183" fontId="84" fillId="8" borderId="9" xfId="19" applyNumberFormat="1" applyFont="1" applyFill="1" applyBorder="1" applyAlignment="1">
      <alignment vertical="center"/>
    </xf>
    <xf numFmtId="182" fontId="88" fillId="8" borderId="9" xfId="12" applyNumberFormat="1" applyFont="1" applyFill="1" applyBorder="1" applyAlignment="1">
      <alignment horizontal="right" vertical="center" indent="1"/>
    </xf>
    <xf numFmtId="182" fontId="88" fillId="8" borderId="9" xfId="12" applyNumberFormat="1" applyFont="1" applyFill="1" applyBorder="1" applyAlignment="1">
      <alignment vertical="center"/>
    </xf>
    <xf numFmtId="176" fontId="90" fillId="8" borderId="9" xfId="12" applyNumberFormat="1" applyFont="1" applyFill="1" applyBorder="1" applyAlignment="1">
      <alignment horizontal="center" vertical="center" wrapText="1"/>
    </xf>
    <xf numFmtId="176" fontId="54" fillId="8" borderId="9" xfId="12" applyNumberFormat="1" applyFont="1" applyFill="1" applyBorder="1" applyAlignment="1">
      <alignment horizontal="center"/>
    </xf>
    <xf numFmtId="176" fontId="35" fillId="8" borderId="9" xfId="12" applyNumberFormat="1" applyFont="1" applyFill="1" applyBorder="1" applyAlignment="1">
      <alignment horizontal="right" vertical="center"/>
    </xf>
    <xf numFmtId="185" fontId="16" fillId="8" borderId="11" xfId="12" applyNumberFormat="1" applyFont="1" applyFill="1" applyBorder="1" applyAlignment="1">
      <alignment vertical="center"/>
    </xf>
    <xf numFmtId="181" fontId="33" fillId="8" borderId="24" xfId="12" applyNumberFormat="1" applyFont="1" applyFill="1" applyBorder="1" applyAlignment="1">
      <alignment vertical="center"/>
    </xf>
    <xf numFmtId="10" fontId="16" fillId="8" borderId="21" xfId="19" applyNumberFormat="1" applyFont="1" applyFill="1" applyBorder="1" applyAlignment="1">
      <alignment vertical="center"/>
    </xf>
    <xf numFmtId="176" fontId="35" fillId="8" borderId="24" xfId="12" applyNumberFormat="1" applyFont="1" applyFill="1" applyBorder="1" applyAlignment="1">
      <alignment vertical="center"/>
    </xf>
    <xf numFmtId="176" fontId="12" fillId="8" borderId="0" xfId="12" applyNumberFormat="1" applyFont="1" applyFill="1"/>
    <xf numFmtId="0" fontId="28" fillId="0" borderId="0" xfId="10" applyFont="1" applyBorder="1"/>
    <xf numFmtId="0" fontId="33" fillId="0" borderId="0" xfId="10" applyFont="1" applyBorder="1"/>
    <xf numFmtId="0" fontId="33" fillId="0" borderId="0" xfId="11" applyFont="1" applyBorder="1"/>
    <xf numFmtId="0" fontId="2" fillId="0" borderId="0" xfId="11"/>
    <xf numFmtId="182" fontId="45" fillId="5" borderId="25" xfId="10" applyNumberFormat="1" applyFont="1" applyFill="1" applyBorder="1"/>
    <xf numFmtId="0" fontId="33" fillId="5" borderId="26" xfId="11" applyFont="1" applyFill="1" applyBorder="1"/>
    <xf numFmtId="182" fontId="45" fillId="3" borderId="21" xfId="10" applyNumberFormat="1" applyFont="1" applyFill="1" applyBorder="1"/>
    <xf numFmtId="0" fontId="33" fillId="3" borderId="24" xfId="11" applyFont="1" applyFill="1" applyBorder="1"/>
    <xf numFmtId="182" fontId="45" fillId="6" borderId="21" xfId="10" applyNumberFormat="1" applyFont="1" applyFill="1" applyBorder="1"/>
    <xf numFmtId="0" fontId="33" fillId="6" borderId="24" xfId="11" applyFont="1" applyFill="1" applyBorder="1"/>
    <xf numFmtId="171" fontId="49" fillId="3" borderId="27" xfId="18" applyNumberFormat="1" applyFont="1" applyFill="1" applyBorder="1" applyAlignment="1" applyProtection="1">
      <alignment horizontal="right" vertical="center" indent="1"/>
    </xf>
    <xf numFmtId="0" fontId="33" fillId="0" borderId="28" xfId="8" applyFont="1" applyFill="1" applyBorder="1" applyAlignment="1" applyProtection="1">
      <alignment horizontal="center" vertical="center" wrapText="1"/>
    </xf>
    <xf numFmtId="174" fontId="16" fillId="0" borderId="9" xfId="8" applyNumberFormat="1" applyFont="1" applyFill="1" applyBorder="1" applyAlignment="1" applyProtection="1">
      <alignment horizontal="center" vertical="center"/>
    </xf>
    <xf numFmtId="172" fontId="16" fillId="0" borderId="9" xfId="8" applyNumberFormat="1" applyFont="1" applyFill="1" applyBorder="1" applyAlignment="1" applyProtection="1">
      <alignment horizontal="center" vertical="center"/>
    </xf>
    <xf numFmtId="186" fontId="33" fillId="0" borderId="24" xfId="8" applyNumberFormat="1" applyFont="1" applyFill="1" applyBorder="1" applyAlignment="1" applyProtection="1">
      <alignment horizontal="center" vertical="center"/>
    </xf>
    <xf numFmtId="172" fontId="16" fillId="0" borderId="17" xfId="8" applyNumberFormat="1" applyFont="1" applyFill="1" applyBorder="1" applyAlignment="1" applyProtection="1">
      <alignment horizontal="center" vertical="center"/>
    </xf>
    <xf numFmtId="0" fontId="33" fillId="0" borderId="0" xfId="8" applyFont="1" applyBorder="1" applyAlignment="1" applyProtection="1">
      <alignment horizontal="right" vertical="center"/>
    </xf>
    <xf numFmtId="0" fontId="2" fillId="0" borderId="10" xfId="8" applyBorder="1" applyAlignment="1">
      <alignment vertical="center"/>
    </xf>
    <xf numFmtId="0" fontId="2" fillId="0" borderId="10" xfId="8" applyBorder="1"/>
    <xf numFmtId="0" fontId="33" fillId="0" borderId="10" xfId="8" applyFont="1" applyBorder="1" applyAlignment="1" applyProtection="1">
      <alignment horizontal="right" vertical="center"/>
    </xf>
    <xf numFmtId="174" fontId="33" fillId="0" borderId="10" xfId="8" applyNumberFormat="1" applyFont="1" applyFill="1" applyBorder="1" applyAlignment="1" applyProtection="1">
      <alignment vertical="center"/>
    </xf>
    <xf numFmtId="169" fontId="12" fillId="0" borderId="10" xfId="8" applyNumberFormat="1" applyFont="1" applyBorder="1"/>
    <xf numFmtId="0" fontId="12" fillId="0" borderId="10" xfId="8" applyFont="1" applyBorder="1"/>
    <xf numFmtId="0" fontId="91" fillId="0" borderId="0" xfId="10" applyFont="1" applyBorder="1" applyAlignment="1" applyProtection="1">
      <alignment horizontal="left" indent="1"/>
    </xf>
    <xf numFmtId="174" fontId="64" fillId="0" borderId="11" xfId="0" applyNumberFormat="1" applyFont="1" applyBorder="1" applyAlignment="1">
      <alignment vertical="top"/>
    </xf>
    <xf numFmtId="172" fontId="65" fillId="0" borderId="29" xfId="0" applyNumberFormat="1" applyFont="1" applyBorder="1" applyAlignment="1">
      <alignment horizontal="center" vertical="top" wrapText="1"/>
    </xf>
    <xf numFmtId="172" fontId="65" fillId="0" borderId="21" xfId="0" applyNumberFormat="1" applyFont="1" applyBorder="1" applyAlignment="1">
      <alignment horizontal="center" vertical="top" wrapText="1"/>
    </xf>
    <xf numFmtId="164" fontId="11" fillId="0" borderId="0" xfId="16" applyAlignment="1"/>
    <xf numFmtId="0" fontId="93" fillId="0" borderId="0" xfId="17" applyFont="1" applyAlignment="1">
      <alignment horizontal="center"/>
    </xf>
    <xf numFmtId="0" fontId="94" fillId="0" borderId="0" xfId="17" applyFont="1" applyAlignment="1">
      <alignment horizontal="center"/>
    </xf>
    <xf numFmtId="0" fontId="95" fillId="0" borderId="0" xfId="17" applyFont="1" applyAlignment="1">
      <alignment horizontal="center"/>
    </xf>
    <xf numFmtId="0" fontId="96" fillId="0" borderId="0" xfId="17" applyFont="1" applyAlignment="1">
      <alignment horizontal="center"/>
    </xf>
    <xf numFmtId="0" fontId="98" fillId="0" borderId="0" xfId="17" applyFont="1" applyAlignment="1">
      <alignment horizontal="center"/>
    </xf>
    <xf numFmtId="164" fontId="28" fillId="0" borderId="0" xfId="16" applyFont="1" applyAlignment="1"/>
    <xf numFmtId="0" fontId="99" fillId="0" borderId="0" xfId="17" applyFont="1" applyAlignment="1">
      <alignment horizontal="center"/>
    </xf>
    <xf numFmtId="0" fontId="100" fillId="0" borderId="0" xfId="17" applyFont="1" applyBorder="1" applyAlignment="1">
      <alignment horizontal="center"/>
    </xf>
    <xf numFmtId="0" fontId="28" fillId="0" borderId="0" xfId="17" applyFont="1"/>
    <xf numFmtId="0" fontId="100" fillId="0" borderId="0" xfId="17" applyFont="1" applyAlignment="1">
      <alignment horizontal="center"/>
    </xf>
    <xf numFmtId="164" fontId="28" fillId="0" borderId="0" xfId="16" applyFont="1" applyBorder="1" applyAlignment="1">
      <alignment horizontal="center"/>
    </xf>
    <xf numFmtId="164" fontId="28" fillId="0" borderId="0" xfId="16" applyFont="1" applyAlignment="1">
      <alignment horizontal="center"/>
    </xf>
    <xf numFmtId="0" fontId="101" fillId="0" borderId="0" xfId="17" applyFont="1" applyAlignment="1">
      <alignment horizontal="center"/>
    </xf>
    <xf numFmtId="164" fontId="29" fillId="0" borderId="0" xfId="16" applyFont="1" applyBorder="1" applyAlignment="1">
      <alignment horizontal="center"/>
    </xf>
    <xf numFmtId="170" fontId="40" fillId="0" borderId="0" xfId="17" applyNumberFormat="1" applyFont="1" applyBorder="1" applyAlignment="1">
      <alignment horizontal="center"/>
    </xf>
    <xf numFmtId="164" fontId="28" fillId="0" borderId="30" xfId="16" applyFont="1" applyBorder="1" applyAlignment="1"/>
    <xf numFmtId="164" fontId="33" fillId="0" borderId="0" xfId="16" applyFont="1" applyAlignment="1"/>
    <xf numFmtId="0" fontId="33" fillId="0" borderId="0" xfId="17" applyFont="1"/>
    <xf numFmtId="164" fontId="11" fillId="0" borderId="0" xfId="16" applyFont="1" applyAlignment="1"/>
    <xf numFmtId="0" fontId="3" fillId="0" borderId="0" xfId="17" applyFont="1"/>
    <xf numFmtId="164" fontId="24" fillId="0" borderId="0" xfId="16" applyFont="1" applyAlignment="1">
      <alignment vertical="center" wrapText="1"/>
    </xf>
    <xf numFmtId="164" fontId="25" fillId="0" borderId="0" xfId="16" applyFont="1" applyAlignment="1">
      <alignment horizontal="center" vertical="top"/>
    </xf>
    <xf numFmtId="164" fontId="48" fillId="0" borderId="0" xfId="16" applyFont="1" applyAlignment="1"/>
    <xf numFmtId="170" fontId="28" fillId="0" borderId="0" xfId="17" applyNumberFormat="1" applyFont="1" applyBorder="1" applyAlignment="1">
      <alignment horizontal="right"/>
    </xf>
    <xf numFmtId="164" fontId="28" fillId="0" borderId="0" xfId="16" applyFont="1" applyBorder="1" applyAlignment="1"/>
    <xf numFmtId="0" fontId="33" fillId="0" borderId="0" xfId="17" applyFont="1" applyBorder="1" applyAlignment="1"/>
    <xf numFmtId="164" fontId="30" fillId="0" borderId="0" xfId="16" applyFont="1" applyBorder="1" applyAlignment="1">
      <alignment wrapText="1"/>
    </xf>
    <xf numFmtId="0" fontId="102" fillId="0" borderId="0" xfId="17" applyFont="1" applyBorder="1" applyAlignment="1"/>
    <xf numFmtId="0" fontId="33" fillId="0" borderId="0" xfId="17" applyFont="1" applyBorder="1" applyAlignment="1">
      <alignment horizontal="right"/>
    </xf>
    <xf numFmtId="164" fontId="33" fillId="0" borderId="0" xfId="16" applyFont="1" applyAlignment="1">
      <alignment horizontal="right" vertical="top"/>
    </xf>
    <xf numFmtId="0" fontId="33" fillId="0" borderId="0" xfId="17" applyFont="1" applyAlignment="1">
      <alignment horizontal="left" vertical="top" indent="1"/>
    </xf>
    <xf numFmtId="0" fontId="33" fillId="0" borderId="0" xfId="17" applyFont="1" applyAlignment="1">
      <alignment vertical="top"/>
    </xf>
    <xf numFmtId="0" fontId="33" fillId="0" borderId="0" xfId="17" applyFont="1" applyAlignment="1">
      <alignment horizontal="right" vertical="top"/>
    </xf>
    <xf numFmtId="0" fontId="33" fillId="0" borderId="0" xfId="17" applyFont="1" applyAlignment="1">
      <alignment horizontal="right" vertical="top" wrapText="1"/>
    </xf>
    <xf numFmtId="164" fontId="33" fillId="0" borderId="0" xfId="16" applyFont="1" applyAlignment="1">
      <alignment horizontal="right"/>
    </xf>
    <xf numFmtId="164" fontId="33" fillId="0" borderId="0" xfId="16" applyFont="1" applyAlignment="1">
      <alignment horizontal="left" indent="1"/>
    </xf>
    <xf numFmtId="164" fontId="102" fillId="0" borderId="0" xfId="16" applyFont="1" applyBorder="1" applyAlignment="1"/>
    <xf numFmtId="164" fontId="28" fillId="0" borderId="0" xfId="16" applyFont="1" applyBorder="1" applyAlignment="1">
      <alignment horizontal="right"/>
    </xf>
    <xf numFmtId="164" fontId="33" fillId="0" borderId="0" xfId="16" applyFont="1" applyAlignment="1">
      <alignment horizontal="left" vertical="top" indent="1"/>
    </xf>
    <xf numFmtId="164" fontId="39" fillId="0" borderId="30" xfId="16" applyFont="1" applyBorder="1" applyAlignment="1"/>
    <xf numFmtId="164" fontId="33" fillId="0" borderId="30" xfId="16" applyFont="1" applyBorder="1" applyAlignment="1"/>
    <xf numFmtId="0" fontId="33" fillId="0" borderId="0" xfId="17" applyFont="1" applyBorder="1" applyAlignment="1">
      <alignment vertical="center" wrapText="1"/>
    </xf>
    <xf numFmtId="0" fontId="33" fillId="0" borderId="0" xfId="17" applyFont="1" applyBorder="1" applyAlignment="1">
      <alignment horizontal="left" vertical="center" wrapText="1"/>
    </xf>
    <xf numFmtId="0" fontId="33" fillId="0" borderId="0" xfId="17" applyFont="1" applyBorder="1" applyAlignment="1">
      <alignment horizontal="left" vertical="center" wrapText="1" indent="1"/>
    </xf>
    <xf numFmtId="14" fontId="33" fillId="0" borderId="0" xfId="17" applyNumberFormat="1" applyFont="1" applyBorder="1" applyAlignment="1">
      <alignment horizontal="center" vertical="center" wrapText="1"/>
    </xf>
    <xf numFmtId="164" fontId="103" fillId="0" borderId="0" xfId="0" applyFont="1" applyBorder="1" applyAlignment="1">
      <alignment horizontal="left" vertical="top" wrapText="1"/>
    </xf>
    <xf numFmtId="164" fontId="28" fillId="0" borderId="0" xfId="16" applyFont="1" applyAlignment="1">
      <alignment vertical="top"/>
    </xf>
    <xf numFmtId="0" fontId="33" fillId="0" borderId="0" xfId="17" applyFont="1" applyAlignment="1">
      <alignment horizontal="center" vertical="center"/>
    </xf>
    <xf numFmtId="0" fontId="33" fillId="0" borderId="0" xfId="17" applyFont="1" applyBorder="1"/>
    <xf numFmtId="0" fontId="33" fillId="0" borderId="0" xfId="17" applyFont="1" applyBorder="1" applyAlignment="1">
      <alignment horizontal="center" vertical="center"/>
    </xf>
    <xf numFmtId="164" fontId="28" fillId="0" borderId="0" xfId="0" applyFont="1"/>
    <xf numFmtId="164" fontId="105" fillId="0" borderId="0" xfId="0" applyFont="1" applyAlignment="1">
      <alignment horizontal="center"/>
    </xf>
    <xf numFmtId="164" fontId="33" fillId="0" borderId="0" xfId="0" applyFont="1"/>
    <xf numFmtId="164" fontId="102" fillId="0" borderId="2" xfId="0" applyFont="1" applyBorder="1"/>
    <xf numFmtId="164" fontId="28" fillId="0" borderId="2" xfId="0" applyFont="1" applyBorder="1"/>
    <xf numFmtId="164" fontId="28" fillId="0" borderId="2" xfId="0" applyFont="1" applyBorder="1" applyAlignment="1">
      <alignment horizontal="right"/>
    </xf>
    <xf numFmtId="164" fontId="39" fillId="0" borderId="31" xfId="0" applyFont="1" applyBorder="1" applyAlignment="1">
      <alignment horizontal="center" vertical="center" wrapText="1"/>
    </xf>
    <xf numFmtId="164" fontId="33" fillId="0" borderId="9" xfId="0" applyFont="1" applyBorder="1" applyAlignment="1">
      <alignment horizontal="center" vertical="center"/>
    </xf>
    <xf numFmtId="164" fontId="33" fillId="0" borderId="0" xfId="0" applyFont="1" applyBorder="1" applyAlignment="1">
      <alignment horizontal="center" vertical="center" wrapText="1"/>
    </xf>
    <xf numFmtId="164" fontId="33" fillId="0" borderId="0" xfId="0" applyFont="1" applyAlignment="1">
      <alignment vertical="top" wrapText="1"/>
    </xf>
    <xf numFmtId="164" fontId="39" fillId="0" borderId="32" xfId="0" applyFont="1" applyBorder="1" applyAlignment="1">
      <alignment horizontal="center" vertical="center" wrapText="1"/>
    </xf>
    <xf numFmtId="164" fontId="39" fillId="0" borderId="33" xfId="0" applyFont="1" applyBorder="1" applyAlignment="1">
      <alignment horizontal="center" vertical="center" wrapText="1"/>
    </xf>
    <xf numFmtId="164" fontId="33" fillId="0" borderId="2" xfId="0" applyFont="1" applyBorder="1" applyAlignment="1">
      <alignment vertical="top" wrapText="1"/>
    </xf>
    <xf numFmtId="164" fontId="33" fillId="0" borderId="34" xfId="0" applyFont="1" applyBorder="1" applyAlignment="1">
      <alignment horizontal="center" vertical="center"/>
    </xf>
    <xf numFmtId="164" fontId="16" fillId="0" borderId="6" xfId="0" applyFont="1" applyBorder="1" applyAlignment="1">
      <alignment horizontal="right" vertical="center" wrapText="1" indent="5"/>
    </xf>
    <xf numFmtId="164" fontId="16" fillId="0" borderId="8" xfId="0" applyFont="1" applyBorder="1" applyAlignment="1">
      <alignment horizontal="right" vertical="center" wrapText="1" indent="6"/>
    </xf>
    <xf numFmtId="0" fontId="2" fillId="12" borderId="31" xfId="9" applyFont="1" applyFill="1" applyBorder="1" applyAlignment="1" applyProtection="1">
      <alignment horizontal="center" vertical="center"/>
    </xf>
    <xf numFmtId="164" fontId="28" fillId="0" borderId="0" xfId="16" applyFont="1" applyBorder="1" applyAlignment="1">
      <alignment vertical="top" wrapText="1"/>
    </xf>
    <xf numFmtId="164" fontId="28" fillId="0" borderId="0" xfId="16" applyFont="1" applyBorder="1" applyAlignment="1">
      <alignment horizontal="center" vertical="center"/>
    </xf>
    <xf numFmtId="164" fontId="30" fillId="13" borderId="0" xfId="0" applyFont="1" applyFill="1" applyAlignment="1">
      <alignment horizontal="center" wrapText="1"/>
    </xf>
    <xf numFmtId="14" fontId="34" fillId="0" borderId="0" xfId="0" applyNumberFormat="1" applyFont="1" applyProtection="1"/>
    <xf numFmtId="0" fontId="34" fillId="0" borderId="0" xfId="0" applyNumberFormat="1" applyFont="1" applyProtection="1"/>
    <xf numFmtId="164" fontId="34" fillId="0" borderId="0" xfId="0" applyFont="1" applyProtection="1"/>
    <xf numFmtId="164" fontId="34" fillId="0" borderId="0" xfId="0" applyFont="1"/>
    <xf numFmtId="14" fontId="34" fillId="0" borderId="0" xfId="0" applyNumberFormat="1" applyFont="1"/>
    <xf numFmtId="164" fontId="39" fillId="0" borderId="20" xfId="16" applyFont="1" applyBorder="1" applyAlignment="1"/>
    <xf numFmtId="164" fontId="39" fillId="0" borderId="20" xfId="16" applyFont="1" applyBorder="1" applyAlignment="1">
      <alignment horizontal="left"/>
    </xf>
    <xf numFmtId="164" fontId="39" fillId="0" borderId="20" xfId="16" applyFont="1" applyBorder="1" applyAlignment="1">
      <alignment horizontal="center"/>
    </xf>
    <xf numFmtId="0" fontId="28" fillId="0" borderId="2" xfId="8" quotePrefix="1" applyFont="1" applyBorder="1" applyAlignment="1" applyProtection="1">
      <alignment horizontal="right" vertical="center"/>
    </xf>
    <xf numFmtId="164" fontId="28" fillId="0" borderId="0" xfId="0" applyFont="1" applyFill="1"/>
    <xf numFmtId="0" fontId="28" fillId="0" borderId="0" xfId="8" quotePrefix="1" applyFont="1" applyBorder="1" applyAlignment="1" applyProtection="1">
      <alignment horizontal="right" vertical="center"/>
    </xf>
    <xf numFmtId="164" fontId="28" fillId="0" borderId="0" xfId="0" applyFont="1" applyFill="1" applyAlignment="1">
      <alignment vertical="center"/>
    </xf>
    <xf numFmtId="164" fontId="48" fillId="0" borderId="2" xfId="0" applyFont="1" applyFill="1" applyBorder="1" applyAlignment="1"/>
    <xf numFmtId="164" fontId="28" fillId="0" borderId="2" xfId="0" applyFont="1" applyFill="1" applyBorder="1" applyAlignment="1"/>
    <xf numFmtId="164" fontId="28" fillId="0" borderId="0" xfId="0" applyFont="1" applyFill="1" applyBorder="1" applyAlignment="1"/>
    <xf numFmtId="14" fontId="28" fillId="0" borderId="0" xfId="0" applyNumberFormat="1" applyFont="1" applyFill="1" applyBorder="1" applyAlignment="1">
      <alignment horizontal="center" vertical="top"/>
    </xf>
    <xf numFmtId="164" fontId="28" fillId="0" borderId="0" xfId="0" applyFont="1" applyFill="1" applyBorder="1" applyAlignment="1">
      <alignment vertical="top" wrapText="1"/>
    </xf>
    <xf numFmtId="164" fontId="28" fillId="0" borderId="0" xfId="0" applyFont="1" applyFill="1" applyBorder="1" applyAlignment="1">
      <alignment horizontal="center" vertical="top"/>
    </xf>
    <xf numFmtId="164" fontId="64" fillId="14" borderId="11" xfId="0" applyFont="1" applyFill="1" applyBorder="1" applyAlignment="1">
      <alignment vertical="top"/>
    </xf>
    <xf numFmtId="164" fontId="33" fillId="14" borderId="21" xfId="0" applyFont="1" applyFill="1" applyBorder="1" applyAlignment="1">
      <alignment vertical="top"/>
    </xf>
    <xf numFmtId="172" fontId="65" fillId="14" borderId="21" xfId="0" applyNumberFormat="1" applyFont="1" applyFill="1" applyBorder="1" applyAlignment="1">
      <alignment horizontal="center" vertical="top" wrapText="1"/>
    </xf>
    <xf numFmtId="174" fontId="64" fillId="14" borderId="11" xfId="0" applyNumberFormat="1" applyFont="1" applyFill="1" applyBorder="1" applyAlignment="1">
      <alignment vertical="top"/>
    </xf>
    <xf numFmtId="164" fontId="65" fillId="14" borderId="21" xfId="0" applyFont="1" applyFill="1" applyBorder="1" applyAlignment="1">
      <alignment horizontal="center" vertical="top" wrapText="1"/>
    </xf>
    <xf numFmtId="0" fontId="33" fillId="14" borderId="6" xfId="18" applyFont="1" applyFill="1" applyBorder="1" applyAlignment="1" applyProtection="1">
      <alignment horizontal="center" vertical="center"/>
    </xf>
    <xf numFmtId="0" fontId="49" fillId="14" borderId="24" xfId="18" applyFont="1" applyFill="1" applyBorder="1" applyAlignment="1" applyProtection="1">
      <alignment horizontal="left"/>
    </xf>
    <xf numFmtId="178" fontId="49" fillId="14" borderId="28" xfId="18" applyNumberFormat="1" applyFont="1" applyFill="1" applyBorder="1" applyAlignment="1" applyProtection="1">
      <alignment horizontal="left"/>
    </xf>
    <xf numFmtId="0" fontId="49" fillId="14" borderId="35" xfId="18" applyFont="1" applyFill="1" applyBorder="1" applyAlignment="1" applyProtection="1">
      <alignment horizontal="left"/>
    </xf>
    <xf numFmtId="174" fontId="49" fillId="14" borderId="36" xfId="18" applyNumberFormat="1" applyFont="1" applyFill="1" applyBorder="1" applyAlignment="1" applyProtection="1">
      <alignment horizontal="left" vertical="center"/>
    </xf>
    <xf numFmtId="0" fontId="9" fillId="14" borderId="37" xfId="18" applyFill="1" applyBorder="1" applyProtection="1"/>
    <xf numFmtId="0" fontId="16" fillId="14" borderId="38" xfId="18" applyFont="1" applyFill="1" applyBorder="1" applyAlignment="1" applyProtection="1">
      <alignment horizontal="center" vertical="center"/>
    </xf>
    <xf numFmtId="0" fontId="16" fillId="14" borderId="39" xfId="18" applyFont="1" applyFill="1" applyBorder="1" applyAlignment="1" applyProtection="1">
      <alignment horizontal="center" vertical="center"/>
    </xf>
    <xf numFmtId="0" fontId="16" fillId="14" borderId="40" xfId="18" applyFont="1" applyFill="1" applyBorder="1" applyAlignment="1" applyProtection="1">
      <alignment horizontal="center" vertical="center"/>
    </xf>
    <xf numFmtId="164" fontId="33" fillId="14" borderId="22" xfId="13" applyFont="1" applyFill="1" applyBorder="1" applyAlignment="1">
      <alignment horizontal="center"/>
    </xf>
    <xf numFmtId="164" fontId="33" fillId="14" borderId="22" xfId="13" applyFont="1" applyFill="1" applyBorder="1" applyAlignment="1">
      <alignment horizontal="center" wrapText="1"/>
    </xf>
    <xf numFmtId="164" fontId="41" fillId="14" borderId="0" xfId="0" applyFont="1" applyFill="1"/>
    <xf numFmtId="0" fontId="33" fillId="14" borderId="6" xfId="9" applyFont="1" applyFill="1" applyBorder="1" applyAlignment="1" applyProtection="1">
      <alignment horizontal="right" vertical="center" indent="1"/>
    </xf>
    <xf numFmtId="0" fontId="33" fillId="14" borderId="9" xfId="9" applyFont="1" applyFill="1" applyBorder="1" applyAlignment="1" applyProtection="1">
      <alignment horizontal="right" vertical="center" indent="1"/>
    </xf>
    <xf numFmtId="0" fontId="33" fillId="14" borderId="9" xfId="9" applyFont="1" applyFill="1" applyBorder="1" applyAlignment="1" applyProtection="1">
      <alignment horizontal="right" vertical="top" indent="1"/>
    </xf>
    <xf numFmtId="164" fontId="33" fillId="14" borderId="15" xfId="0" applyFont="1" applyFill="1" applyBorder="1" applyAlignment="1" applyProtection="1">
      <alignment horizontal="center" vertical="center" wrapText="1"/>
    </xf>
    <xf numFmtId="164" fontId="33" fillId="14" borderId="15" xfId="0" applyFont="1" applyFill="1" applyBorder="1" applyAlignment="1" applyProtection="1">
      <alignment horizontal="center" vertical="center"/>
    </xf>
    <xf numFmtId="164" fontId="33" fillId="14" borderId="41" xfId="0" applyFont="1" applyFill="1" applyBorder="1" applyAlignment="1" applyProtection="1">
      <alignment horizontal="center" vertical="center" wrapText="1"/>
    </xf>
    <xf numFmtId="164" fontId="33" fillId="14" borderId="42" xfId="0" applyFont="1" applyFill="1" applyBorder="1" applyAlignment="1" applyProtection="1">
      <alignment horizontal="center" vertical="center" wrapText="1"/>
    </xf>
    <xf numFmtId="164" fontId="33" fillId="14" borderId="43" xfId="0" applyFont="1" applyFill="1" applyBorder="1" applyAlignment="1" applyProtection="1">
      <alignment horizontal="center" vertical="center" wrapText="1"/>
    </xf>
    <xf numFmtId="164" fontId="33" fillId="14" borderId="39" xfId="0" applyFont="1" applyFill="1" applyBorder="1" applyAlignment="1" applyProtection="1">
      <alignment horizontal="center" vertical="center" wrapText="1"/>
    </xf>
    <xf numFmtId="164" fontId="33" fillId="14" borderId="40" xfId="0" applyFont="1" applyFill="1" applyBorder="1" applyAlignment="1" applyProtection="1">
      <alignment horizontal="center" vertical="center" wrapText="1"/>
    </xf>
    <xf numFmtId="164" fontId="33" fillId="14" borderId="44" xfId="0" applyFont="1" applyFill="1" applyBorder="1" applyAlignment="1" applyProtection="1">
      <alignment horizontal="center" vertical="center" wrapText="1"/>
    </xf>
    <xf numFmtId="164" fontId="33" fillId="14" borderId="6" xfId="0" applyFont="1" applyFill="1" applyBorder="1" applyAlignment="1" applyProtection="1">
      <alignment horizontal="center" vertical="center"/>
    </xf>
    <xf numFmtId="164" fontId="33" fillId="14" borderId="9" xfId="0" applyFont="1" applyFill="1" applyBorder="1" applyAlignment="1" applyProtection="1">
      <alignment horizontal="center" vertical="center"/>
    </xf>
    <xf numFmtId="164" fontId="34" fillId="14" borderId="6" xfId="0" applyFont="1" applyFill="1" applyBorder="1" applyAlignment="1" applyProtection="1">
      <alignment horizontal="center" vertical="center"/>
    </xf>
    <xf numFmtId="164" fontId="33" fillId="14" borderId="28" xfId="0" applyFont="1" applyFill="1" applyBorder="1" applyAlignment="1" applyProtection="1">
      <alignment horizontal="center" vertical="center"/>
    </xf>
    <xf numFmtId="164" fontId="33" fillId="14" borderId="24" xfId="0" applyFont="1" applyFill="1" applyBorder="1" applyAlignment="1" applyProtection="1">
      <alignment horizontal="center" vertical="center"/>
    </xf>
    <xf numFmtId="164" fontId="34" fillId="14" borderId="17" xfId="0" applyFont="1" applyFill="1" applyBorder="1" applyAlignment="1" applyProtection="1">
      <alignment horizontal="center" vertical="center"/>
    </xf>
    <xf numFmtId="164" fontId="34" fillId="14" borderId="9" xfId="0" applyFont="1" applyFill="1" applyBorder="1" applyAlignment="1" applyProtection="1">
      <alignment horizontal="center" vertical="center"/>
    </xf>
    <xf numFmtId="164" fontId="30" fillId="14" borderId="11" xfId="0" applyFont="1" applyFill="1" applyBorder="1" applyAlignment="1" applyProtection="1">
      <alignment horizontal="right" vertical="top"/>
    </xf>
    <xf numFmtId="164" fontId="30" fillId="14" borderId="45" xfId="0" applyFont="1" applyFill="1" applyBorder="1" applyAlignment="1" applyProtection="1">
      <alignment horizontal="right" vertical="top"/>
    </xf>
    <xf numFmtId="164" fontId="59" fillId="14" borderId="34" xfId="0" applyFont="1" applyFill="1" applyBorder="1" applyAlignment="1" applyProtection="1">
      <alignment horizontal="right" vertical="center" wrapText="1"/>
    </xf>
    <xf numFmtId="187" fontId="34" fillId="0" borderId="31" xfId="0" applyNumberFormat="1" applyFont="1" applyFill="1" applyBorder="1" applyAlignment="1" applyProtection="1">
      <alignment horizontal="center" vertical="center"/>
      <protection locked="0"/>
    </xf>
    <xf numFmtId="0" fontId="34" fillId="0" borderId="6" xfId="9" applyNumberFormat="1" applyFont="1" applyFill="1" applyBorder="1" applyAlignment="1" applyProtection="1">
      <alignment horizontal="left" vertical="center" indent="1"/>
      <protection locked="0"/>
    </xf>
    <xf numFmtId="0" fontId="34" fillId="0" borderId="9" xfId="9" applyFont="1" applyFill="1" applyBorder="1" applyAlignment="1" applyProtection="1">
      <alignment horizontal="left" vertical="center" indent="1"/>
      <protection locked="0"/>
    </xf>
    <xf numFmtId="164" fontId="34" fillId="0" borderId="46" xfId="0" applyFont="1" applyFill="1" applyBorder="1" applyAlignment="1" applyProtection="1">
      <alignment horizontal="left" vertical="center" indent="1"/>
      <protection locked="0"/>
    </xf>
    <xf numFmtId="0" fontId="34" fillId="0" borderId="46" xfId="9" applyFont="1" applyFill="1" applyBorder="1" applyAlignment="1" applyProtection="1">
      <alignment horizontal="left" vertical="center" indent="1"/>
      <protection locked="0"/>
    </xf>
    <xf numFmtId="164" fontId="34" fillId="0" borderId="6" xfId="0" applyFont="1" applyFill="1" applyBorder="1" applyAlignment="1" applyProtection="1">
      <alignment horizontal="center" vertical="center"/>
      <protection locked="0"/>
    </xf>
    <xf numFmtId="164" fontId="34" fillId="0" borderId="28" xfId="0" applyFont="1" applyFill="1" applyBorder="1" applyAlignment="1" applyProtection="1">
      <alignment horizontal="center" vertical="center"/>
      <protection locked="0"/>
    </xf>
    <xf numFmtId="0" fontId="34" fillId="0" borderId="47" xfId="9" applyNumberFormat="1" applyFont="1" applyFill="1" applyBorder="1" applyAlignment="1" applyProtection="1">
      <alignment vertical="center"/>
      <protection locked="0"/>
    </xf>
    <xf numFmtId="0" fontId="34" fillId="0" borderId="31" xfId="9" applyNumberFormat="1" applyFont="1" applyFill="1" applyBorder="1" applyAlignment="1" applyProtection="1">
      <alignment vertical="center"/>
      <protection locked="0"/>
    </xf>
    <xf numFmtId="164" fontId="34" fillId="0" borderId="9" xfId="0" applyFont="1" applyFill="1" applyBorder="1" applyAlignment="1" applyProtection="1">
      <alignment horizontal="center" vertical="center"/>
      <protection locked="0"/>
    </xf>
    <xf numFmtId="164" fontId="34" fillId="0" borderId="16" xfId="0" applyFont="1" applyFill="1" applyBorder="1" applyAlignment="1" applyProtection="1">
      <alignment horizontal="center" vertical="center"/>
      <protection locked="0"/>
    </xf>
    <xf numFmtId="164" fontId="34" fillId="0" borderId="17" xfId="0" applyFont="1" applyFill="1" applyBorder="1" applyAlignment="1" applyProtection="1">
      <alignment horizontal="center" vertical="center"/>
      <protection locked="0"/>
    </xf>
    <xf numFmtId="164" fontId="34" fillId="0" borderId="46" xfId="0" applyFont="1" applyFill="1" applyBorder="1" applyAlignment="1" applyProtection="1">
      <alignment horizontal="center" vertical="center"/>
      <protection locked="0"/>
    </xf>
    <xf numFmtId="0" fontId="3" fillId="0" borderId="0" xfId="9" applyFont="1" applyBorder="1" applyAlignment="1" applyProtection="1">
      <alignment vertical="center"/>
    </xf>
    <xf numFmtId="164" fontId="3" fillId="0" borderId="48" xfId="0" applyFont="1" applyBorder="1" applyAlignment="1" applyProtection="1">
      <alignment vertical="center"/>
    </xf>
    <xf numFmtId="0" fontId="2" fillId="0" borderId="48" xfId="9" applyBorder="1" applyAlignment="1" applyProtection="1">
      <alignment vertical="center"/>
    </xf>
    <xf numFmtId="0" fontId="2" fillId="0" borderId="0" xfId="9" applyBorder="1" applyAlignment="1" applyProtection="1">
      <alignment vertical="center"/>
    </xf>
    <xf numFmtId="0" fontId="28" fillId="0" borderId="2" xfId="9" applyFont="1" applyBorder="1" applyProtection="1"/>
    <xf numFmtId="0" fontId="33" fillId="0" borderId="2" xfId="9" applyFont="1" applyBorder="1" applyProtection="1"/>
    <xf numFmtId="14" fontId="2" fillId="0" borderId="0" xfId="9" applyNumberFormat="1" applyAlignment="1" applyProtection="1">
      <alignment vertical="center"/>
    </xf>
    <xf numFmtId="0" fontId="33" fillId="14" borderId="31" xfId="0" applyNumberFormat="1" applyFont="1" applyFill="1" applyBorder="1" applyAlignment="1" applyProtection="1">
      <alignment horizontal="center" vertical="center" wrapText="1"/>
    </xf>
    <xf numFmtId="0" fontId="34" fillId="14" borderId="9" xfId="0" applyNumberFormat="1" applyFont="1" applyFill="1" applyBorder="1" applyAlignment="1" applyProtection="1">
      <alignment horizontal="center" vertical="center"/>
      <protection locked="0"/>
    </xf>
    <xf numFmtId="0" fontId="34" fillId="0" borderId="6" xfId="9" applyNumberFormat="1" applyFont="1" applyFill="1" applyBorder="1" applyAlignment="1" applyProtection="1">
      <alignment horizontal="center" vertical="center"/>
      <protection locked="0"/>
    </xf>
    <xf numFmtId="0" fontId="34" fillId="0" borderId="9" xfId="9" applyNumberFormat="1" applyFont="1" applyFill="1" applyBorder="1" applyAlignment="1" applyProtection="1">
      <alignment horizontal="center" vertical="center"/>
      <protection locked="0"/>
    </xf>
    <xf numFmtId="164" fontId="30" fillId="14" borderId="0" xfId="0" applyFont="1" applyFill="1" applyAlignment="1">
      <alignment horizontal="center" wrapText="1"/>
    </xf>
    <xf numFmtId="164" fontId="20" fillId="15" borderId="0" xfId="14" applyNumberFormat="1" applyFont="1" applyFill="1" applyBorder="1" applyAlignment="1" applyProtection="1">
      <alignment horizontal="center"/>
    </xf>
    <xf numFmtId="0" fontId="20" fillId="15" borderId="0" xfId="14" applyFont="1" applyFill="1" applyBorder="1" applyAlignment="1">
      <alignment horizontal="center"/>
    </xf>
    <xf numFmtId="0" fontId="28" fillId="16" borderId="0" xfId="14" applyFont="1" applyFill="1" applyBorder="1"/>
    <xf numFmtId="0" fontId="28" fillId="16" borderId="0" xfId="14" applyFont="1" applyFill="1" applyBorder="1" applyAlignment="1">
      <alignment horizontal="center"/>
    </xf>
    <xf numFmtId="0" fontId="32" fillId="16" borderId="0" xfId="8" applyFont="1" applyFill="1" applyBorder="1" applyAlignment="1">
      <alignment horizontal="left" vertical="center"/>
    </xf>
    <xf numFmtId="0" fontId="32" fillId="16" borderId="0" xfId="8" applyFont="1" applyFill="1" applyBorder="1" applyAlignment="1">
      <alignment horizontal="left" vertical="center" indent="1"/>
    </xf>
    <xf numFmtId="0" fontId="29" fillId="17" borderId="0" xfId="9" applyFont="1" applyFill="1" applyBorder="1" applyAlignment="1" applyProtection="1">
      <alignment horizontal="center" vertical="center" wrapText="1"/>
    </xf>
    <xf numFmtId="0" fontId="32" fillId="17" borderId="0" xfId="8" applyFont="1" applyFill="1" applyBorder="1" applyAlignment="1">
      <alignment horizontal="left" vertical="center"/>
    </xf>
    <xf numFmtId="164" fontId="28" fillId="0" borderId="0" xfId="0" applyFont="1" applyFill="1" applyBorder="1" applyAlignment="1">
      <alignment vertical="top"/>
    </xf>
    <xf numFmtId="14" fontId="28" fillId="0" borderId="0" xfId="0" applyNumberFormat="1" applyFont="1" applyFill="1" applyBorder="1" applyAlignment="1">
      <alignment vertical="top"/>
    </xf>
    <xf numFmtId="0" fontId="28" fillId="0" borderId="0" xfId="15" applyNumberFormat="1" applyFont="1" applyFill="1" applyBorder="1" applyAlignment="1">
      <alignment horizontal="center" vertical="top" wrapText="1"/>
    </xf>
    <xf numFmtId="0" fontId="28" fillId="0" borderId="0" xfId="15" applyFont="1" applyFill="1" applyBorder="1" applyAlignment="1">
      <alignment vertical="top" wrapText="1"/>
    </xf>
    <xf numFmtId="0" fontId="28" fillId="0" borderId="0" xfId="15" applyNumberFormat="1" applyFont="1" applyFill="1" applyAlignment="1">
      <alignment horizontal="center" vertical="top" wrapText="1"/>
    </xf>
    <xf numFmtId="164" fontId="34" fillId="0" borderId="24" xfId="0" applyFont="1" applyFill="1" applyBorder="1" applyAlignment="1" applyProtection="1">
      <alignment horizontal="left" vertical="center" indent="1"/>
      <protection locked="0"/>
    </xf>
    <xf numFmtId="0" fontId="33" fillId="14" borderId="11" xfId="9" applyFont="1" applyFill="1" applyBorder="1" applyAlignment="1" applyProtection="1">
      <alignment vertical="center"/>
    </xf>
    <xf numFmtId="164" fontId="33" fillId="14" borderId="24" xfId="0" applyFont="1" applyFill="1" applyBorder="1" applyAlignment="1" applyProtection="1">
      <alignment vertical="center"/>
    </xf>
    <xf numFmtId="14" fontId="107" fillId="0" borderId="0" xfId="0" applyNumberFormat="1" applyFont="1" applyFill="1" applyBorder="1" applyAlignment="1">
      <alignment horizontal="center" vertical="top"/>
    </xf>
    <xf numFmtId="164" fontId="107" fillId="0" borderId="0" xfId="0" applyFont="1" applyFill="1" applyBorder="1" applyAlignment="1">
      <alignment vertical="top" wrapText="1"/>
    </xf>
    <xf numFmtId="164" fontId="107" fillId="0" borderId="0" xfId="0" applyFont="1" applyFill="1" applyBorder="1" applyAlignment="1">
      <alignment horizontal="center" vertical="top"/>
    </xf>
    <xf numFmtId="188" fontId="16" fillId="0" borderId="9" xfId="0" applyNumberFormat="1" applyFont="1" applyFill="1" applyBorder="1" applyAlignment="1" applyProtection="1">
      <alignment horizontal="center" wrapText="1"/>
      <protection locked="0"/>
    </xf>
    <xf numFmtId="0" fontId="16" fillId="0" borderId="9" xfId="0" applyNumberFormat="1" applyFont="1" applyFill="1" applyBorder="1" applyAlignment="1" applyProtection="1">
      <alignment horizontal="center"/>
      <protection locked="0"/>
    </xf>
    <xf numFmtId="164" fontId="16" fillId="0" borderId="7" xfId="9" applyNumberFormat="1" applyFont="1" applyFill="1" applyBorder="1" applyAlignment="1" applyProtection="1">
      <alignment vertical="center"/>
      <protection locked="0"/>
    </xf>
    <xf numFmtId="164" fontId="16" fillId="0" borderId="6" xfId="0" applyFont="1" applyFill="1" applyBorder="1" applyAlignment="1" applyProtection="1">
      <alignment horizontal="center" vertical="center"/>
      <protection locked="0"/>
    </xf>
    <xf numFmtId="0" fontId="28" fillId="0" borderId="0" xfId="15" applyFont="1" applyFill="1" applyAlignment="1">
      <alignment vertical="top" wrapText="1"/>
    </xf>
    <xf numFmtId="0" fontId="33" fillId="0" borderId="2" xfId="9" applyFont="1" applyFill="1" applyBorder="1" applyAlignment="1" applyProtection="1">
      <alignment horizontal="right" vertical="center" indent="1"/>
    </xf>
    <xf numFmtId="164" fontId="33" fillId="0" borderId="2" xfId="0" applyFont="1" applyFill="1" applyBorder="1" applyAlignment="1" applyProtection="1">
      <alignment horizontal="right" vertical="center" indent="1"/>
    </xf>
    <xf numFmtId="0" fontId="34" fillId="0" borderId="2" xfId="9" applyNumberFormat="1" applyFont="1" applyFill="1" applyBorder="1" applyAlignment="1" applyProtection="1">
      <alignment vertical="center"/>
      <protection locked="0"/>
    </xf>
    <xf numFmtId="164" fontId="30" fillId="0" borderId="31" xfId="0" applyFont="1" applyFill="1" applyBorder="1" applyAlignment="1" applyProtection="1">
      <alignment horizontal="center" vertical="center"/>
      <protection locked="0"/>
    </xf>
    <xf numFmtId="164" fontId="30" fillId="14" borderId="31" xfId="0" applyFont="1" applyFill="1" applyBorder="1"/>
    <xf numFmtId="164" fontId="30" fillId="0" borderId="0" xfId="0" applyFont="1"/>
    <xf numFmtId="164" fontId="48" fillId="0" borderId="0" xfId="0" applyFont="1" applyFill="1" applyBorder="1" applyAlignment="1"/>
    <xf numFmtId="164" fontId="48" fillId="0" borderId="2" xfId="0" applyFont="1" applyFill="1" applyBorder="1" applyAlignment="1"/>
    <xf numFmtId="164" fontId="110" fillId="0" borderId="0" xfId="16" applyFont="1" applyAlignment="1">
      <alignment horizontal="center" vertical="center"/>
    </xf>
    <xf numFmtId="164" fontId="46" fillId="0" borderId="0" xfId="0" applyFont="1" applyAlignment="1">
      <alignment horizontal="left" wrapText="1"/>
    </xf>
    <xf numFmtId="164" fontId="33" fillId="0" borderId="49" xfId="16" applyFont="1" applyBorder="1" applyAlignment="1">
      <alignment horizontal="center"/>
    </xf>
    <xf numFmtId="164" fontId="30" fillId="0" borderId="0" xfId="16" applyFont="1" applyAlignment="1">
      <alignment horizontal="left" vertical="distributed"/>
    </xf>
    <xf numFmtId="164" fontId="33" fillId="0" borderId="0" xfId="0" applyFont="1" applyBorder="1" applyAlignment="1">
      <alignment horizontal="left" vertical="top" wrapText="1"/>
    </xf>
    <xf numFmtId="0" fontId="33" fillId="0" borderId="0" xfId="17" applyFont="1" applyBorder="1" applyAlignment="1">
      <alignment vertical="center" wrapText="1"/>
    </xf>
    <xf numFmtId="0" fontId="33" fillId="0" borderId="0" xfId="17" applyFont="1" applyBorder="1" applyAlignment="1">
      <alignment horizontal="left" vertical="center" wrapText="1" indent="1"/>
    </xf>
    <xf numFmtId="164" fontId="48" fillId="0" borderId="0" xfId="16" applyFont="1" applyAlignment="1">
      <alignment horizontal="center"/>
    </xf>
    <xf numFmtId="164" fontId="103" fillId="0" borderId="0" xfId="0" applyFont="1" applyBorder="1" applyAlignment="1">
      <alignment horizontal="left" vertical="top" wrapText="1"/>
    </xf>
    <xf numFmtId="164" fontId="39" fillId="0" borderId="20" xfId="16" applyFont="1" applyBorder="1" applyAlignment="1">
      <alignment horizontal="left" indent="1"/>
    </xf>
    <xf numFmtId="164" fontId="103" fillId="0" borderId="0" xfId="0" applyFont="1" applyAlignment="1">
      <alignment vertical="top" wrapText="1"/>
    </xf>
    <xf numFmtId="164" fontId="33" fillId="0" borderId="0" xfId="16" applyFont="1" applyBorder="1" applyAlignment="1">
      <alignment vertical="top" wrapText="1"/>
    </xf>
    <xf numFmtId="164" fontId="103" fillId="0" borderId="0" xfId="0" applyFont="1" applyBorder="1" applyAlignment="1">
      <alignment vertical="top" wrapText="1"/>
    </xf>
    <xf numFmtId="164" fontId="30" fillId="14" borderId="31" xfId="0" applyFont="1" applyFill="1" applyBorder="1" applyAlignment="1">
      <alignment horizontal="right"/>
    </xf>
    <xf numFmtId="164" fontId="30" fillId="14" borderId="9" xfId="0" applyFont="1" applyFill="1" applyBorder="1" applyAlignment="1">
      <alignment horizontal="right"/>
    </xf>
    <xf numFmtId="164" fontId="30" fillId="0" borderId="9" xfId="0" applyFont="1" applyFill="1" applyBorder="1" applyAlignment="1" applyProtection="1">
      <alignment horizontal="left" vertical="center" indent="1"/>
      <protection locked="0"/>
    </xf>
    <xf numFmtId="0" fontId="34" fillId="0" borderId="11" xfId="9" applyFont="1" applyFill="1" applyBorder="1" applyAlignment="1" applyProtection="1">
      <alignment horizontal="left" vertical="center" indent="1"/>
      <protection locked="0"/>
    </xf>
    <xf numFmtId="0" fontId="34" fillId="0" borderId="21" xfId="9" applyFont="1" applyFill="1" applyBorder="1" applyAlignment="1" applyProtection="1">
      <alignment horizontal="left" vertical="center" indent="1"/>
      <protection locked="0"/>
    </xf>
    <xf numFmtId="0" fontId="34" fillId="0" borderId="24" xfId="9" applyFont="1" applyFill="1" applyBorder="1" applyAlignment="1" applyProtection="1">
      <alignment horizontal="left" vertical="center" indent="1"/>
      <protection locked="0"/>
    </xf>
    <xf numFmtId="0" fontId="33" fillId="14" borderId="11" xfId="9" applyFont="1" applyFill="1" applyBorder="1" applyAlignment="1" applyProtection="1">
      <alignment horizontal="right" vertical="center" indent="1"/>
    </xf>
    <xf numFmtId="0" fontId="33" fillId="14" borderId="21" xfId="9" applyFont="1" applyFill="1" applyBorder="1" applyAlignment="1" applyProtection="1">
      <alignment horizontal="right" vertical="center" indent="1"/>
    </xf>
    <xf numFmtId="0" fontId="33" fillId="14" borderId="24" xfId="9" applyFont="1" applyFill="1" applyBorder="1" applyAlignment="1" applyProtection="1">
      <alignment horizontal="right" vertical="center" indent="1"/>
    </xf>
    <xf numFmtId="0" fontId="30" fillId="0" borderId="58" xfId="9" applyFont="1" applyFill="1" applyBorder="1" applyAlignment="1" applyProtection="1">
      <alignment horizontal="left" vertical="center" indent="1"/>
      <protection locked="0"/>
    </xf>
    <xf numFmtId="0" fontId="30" fillId="0" borderId="5" xfId="9" applyFont="1" applyFill="1" applyBorder="1" applyAlignment="1" applyProtection="1">
      <alignment horizontal="left" vertical="center" indent="1"/>
      <protection locked="0"/>
    </xf>
    <xf numFmtId="0" fontId="30" fillId="0" borderId="59" xfId="9" applyFont="1" applyFill="1" applyBorder="1" applyAlignment="1" applyProtection="1">
      <alignment horizontal="left" vertical="center" indent="1"/>
      <protection locked="0"/>
    </xf>
    <xf numFmtId="0" fontId="30" fillId="0" borderId="11" xfId="9" applyFont="1" applyFill="1" applyBorder="1" applyAlignment="1" applyProtection="1">
      <alignment horizontal="left" vertical="center" indent="1"/>
      <protection locked="0"/>
    </xf>
    <xf numFmtId="0" fontId="30" fillId="0" borderId="21" xfId="9" applyFont="1" applyFill="1" applyBorder="1" applyAlignment="1" applyProtection="1">
      <alignment horizontal="left" vertical="center" indent="1"/>
      <protection locked="0"/>
    </xf>
    <xf numFmtId="0" fontId="30" fillId="0" borderId="24" xfId="9" applyFont="1" applyFill="1" applyBorder="1" applyAlignment="1" applyProtection="1">
      <alignment horizontal="left" vertical="center" indent="1"/>
      <protection locked="0"/>
    </xf>
    <xf numFmtId="0" fontId="33" fillId="14" borderId="9" xfId="9" applyFont="1" applyFill="1" applyBorder="1" applyAlignment="1" applyProtection="1">
      <alignment horizontal="right" vertical="center" indent="1"/>
    </xf>
    <xf numFmtId="164" fontId="34" fillId="0" borderId="9" xfId="0" applyFont="1" applyFill="1" applyBorder="1" applyAlignment="1" applyProtection="1">
      <alignment horizontal="left" vertical="center" indent="1"/>
      <protection locked="0"/>
    </xf>
    <xf numFmtId="0" fontId="33" fillId="14" borderId="11" xfId="9" applyFont="1" applyFill="1" applyBorder="1" applyAlignment="1" applyProtection="1">
      <alignment horizontal="right" vertical="center"/>
    </xf>
    <xf numFmtId="0" fontId="33" fillId="14" borderId="21" xfId="9" applyFont="1" applyFill="1" applyBorder="1" applyAlignment="1" applyProtection="1">
      <alignment horizontal="right" vertical="center"/>
    </xf>
    <xf numFmtId="0" fontId="33" fillId="14" borderId="11" xfId="9" applyFont="1" applyFill="1" applyBorder="1" applyAlignment="1">
      <alignment horizontal="right" vertical="center" indent="1"/>
    </xf>
    <xf numFmtId="0" fontId="33" fillId="14" borderId="21" xfId="9" applyFont="1" applyFill="1" applyBorder="1" applyAlignment="1">
      <alignment horizontal="right" vertical="center" indent="1"/>
    </xf>
    <xf numFmtId="0" fontId="33" fillId="14" borderId="24" xfId="9" applyFont="1" applyFill="1" applyBorder="1" applyAlignment="1">
      <alignment horizontal="right" vertical="center" indent="1"/>
    </xf>
    <xf numFmtId="0" fontId="32" fillId="0" borderId="2" xfId="0" applyNumberFormat="1" applyFont="1" applyFill="1" applyBorder="1" applyAlignment="1" applyProtection="1">
      <alignment horizontal="left" indent="1"/>
      <protection locked="0"/>
    </xf>
    <xf numFmtId="0" fontId="16" fillId="0" borderId="9" xfId="0" applyNumberFormat="1" applyFont="1" applyFill="1" applyBorder="1" applyAlignment="1" applyProtection="1">
      <alignment vertical="center"/>
      <protection locked="0"/>
    </xf>
    <xf numFmtId="0" fontId="16" fillId="0" borderId="9" xfId="0" applyNumberFormat="1" applyFont="1" applyFill="1" applyBorder="1" applyAlignment="1" applyProtection="1">
      <alignment horizontal="left"/>
      <protection locked="0"/>
    </xf>
    <xf numFmtId="0" fontId="33" fillId="14" borderId="47" xfId="9" applyFont="1" applyFill="1" applyBorder="1" applyAlignment="1" applyProtection="1">
      <alignment horizontal="right" vertical="center" indent="1"/>
    </xf>
    <xf numFmtId="0" fontId="33" fillId="14" borderId="25" xfId="9" applyFont="1" applyFill="1" applyBorder="1" applyAlignment="1" applyProtection="1">
      <alignment horizontal="right" vertical="center" indent="1"/>
    </xf>
    <xf numFmtId="0" fontId="33" fillId="14" borderId="26" xfId="9" applyFont="1" applyFill="1" applyBorder="1" applyAlignment="1" applyProtection="1">
      <alignment horizontal="right" vertical="center" indent="1"/>
    </xf>
    <xf numFmtId="174" fontId="34" fillId="13" borderId="21" xfId="9" applyNumberFormat="1" applyFont="1" applyFill="1" applyBorder="1" applyAlignment="1" applyProtection="1">
      <alignment horizontal="left" vertical="center"/>
    </xf>
    <xf numFmtId="174" fontId="0" fillId="0" borderId="24" xfId="0" applyNumberFormat="1" applyBorder="1" applyAlignment="1">
      <alignment vertical="center"/>
    </xf>
    <xf numFmtId="164" fontId="33" fillId="14" borderId="9" xfId="0" applyFont="1" applyFill="1" applyBorder="1" applyAlignment="1" applyProtection="1">
      <alignment horizontal="right" vertical="center" indent="1"/>
    </xf>
    <xf numFmtId="0" fontId="33" fillId="14" borderId="46" xfId="9" applyFont="1" applyFill="1" applyBorder="1" applyAlignment="1" applyProtection="1">
      <alignment horizontal="right" vertical="center"/>
    </xf>
    <xf numFmtId="164" fontId="33" fillId="14" borderId="46" xfId="0" applyFont="1" applyFill="1" applyBorder="1" applyAlignment="1">
      <alignment horizontal="right" vertical="center"/>
    </xf>
    <xf numFmtId="14" fontId="34" fillId="0" borderId="9" xfId="9" applyNumberFormat="1" applyFont="1" applyFill="1" applyBorder="1" applyAlignment="1" applyProtection="1">
      <alignment horizontal="center" vertical="center"/>
      <protection locked="0"/>
    </xf>
    <xf numFmtId="0" fontId="33" fillId="14" borderId="47" xfId="0" applyNumberFormat="1" applyFont="1" applyFill="1" applyBorder="1" applyAlignment="1" applyProtection="1">
      <alignment vertical="center"/>
    </xf>
    <xf numFmtId="0" fontId="33" fillId="14" borderId="26" xfId="0" applyNumberFormat="1" applyFont="1" applyFill="1" applyBorder="1" applyAlignment="1" applyProtection="1">
      <alignment vertical="center"/>
    </xf>
    <xf numFmtId="14" fontId="34" fillId="0" borderId="11" xfId="9" applyNumberFormat="1" applyFont="1" applyFill="1" applyBorder="1" applyAlignment="1" applyProtection="1">
      <alignment horizontal="left" vertical="center" indent="1"/>
      <protection locked="0"/>
    </xf>
    <xf numFmtId="14" fontId="34" fillId="0" borderId="21" xfId="9" applyNumberFormat="1" applyFont="1" applyFill="1" applyBorder="1" applyAlignment="1" applyProtection="1">
      <alignment horizontal="left" vertical="center" indent="1"/>
      <protection locked="0"/>
    </xf>
    <xf numFmtId="14" fontId="34" fillId="0" borderId="24" xfId="9" applyNumberFormat="1" applyFont="1" applyFill="1" applyBorder="1" applyAlignment="1" applyProtection="1">
      <alignment horizontal="left" vertical="center" indent="1"/>
      <protection locked="0"/>
    </xf>
    <xf numFmtId="174" fontId="34" fillId="0" borderId="6" xfId="9" applyNumberFormat="1" applyFont="1" applyFill="1" applyBorder="1" applyAlignment="1" applyProtection="1">
      <alignment horizontal="center" vertical="center"/>
      <protection locked="0"/>
    </xf>
    <xf numFmtId="0" fontId="33" fillId="14" borderId="31" xfId="0" applyNumberFormat="1" applyFont="1" applyFill="1" applyBorder="1" applyAlignment="1" applyProtection="1">
      <alignment vertical="center"/>
    </xf>
    <xf numFmtId="164" fontId="47" fillId="5" borderId="7" xfId="0" applyFont="1" applyFill="1" applyBorder="1" applyAlignment="1">
      <alignment horizontal="center" vertical="center" wrapText="1"/>
    </xf>
    <xf numFmtId="164" fontId="47" fillId="5" borderId="29" xfId="0" applyFont="1" applyFill="1" applyBorder="1" applyAlignment="1">
      <alignment horizontal="center" vertical="center" wrapText="1"/>
    </xf>
    <xf numFmtId="164" fontId="47" fillId="5" borderId="28" xfId="0" applyFont="1" applyFill="1" applyBorder="1" applyAlignment="1">
      <alignment horizontal="center" vertical="center" wrapText="1"/>
    </xf>
    <xf numFmtId="164" fontId="55" fillId="14" borderId="34" xfId="0" applyFont="1" applyFill="1" applyBorder="1" applyAlignment="1" applyProtection="1">
      <alignment vertical="center" wrapText="1"/>
    </xf>
    <xf numFmtId="164" fontId="55" fillId="14" borderId="35" xfId="0" applyFont="1" applyFill="1" applyBorder="1" applyAlignment="1" applyProtection="1">
      <alignment vertical="center" wrapText="1"/>
    </xf>
    <xf numFmtId="164" fontId="30" fillId="14" borderId="21" xfId="0" applyFont="1" applyFill="1" applyBorder="1" applyAlignment="1" applyProtection="1">
      <alignment horizontal="left" vertical="center" wrapText="1"/>
    </xf>
    <xf numFmtId="164" fontId="30" fillId="14" borderId="24" xfId="0" applyFont="1" applyFill="1" applyBorder="1" applyAlignment="1" applyProtection="1">
      <alignment horizontal="left" vertical="center" wrapText="1"/>
    </xf>
    <xf numFmtId="164" fontId="29" fillId="0" borderId="9" xfId="0" applyFont="1" applyFill="1" applyBorder="1" applyAlignment="1">
      <alignment horizontal="center" vertical="center" wrapText="1"/>
    </xf>
    <xf numFmtId="164" fontId="29" fillId="0" borderId="9" xfId="0" applyFont="1" applyFill="1" applyBorder="1" applyAlignment="1">
      <alignment horizontal="center" vertical="center"/>
    </xf>
    <xf numFmtId="164" fontId="30" fillId="14" borderId="34" xfId="0" applyFont="1" applyFill="1" applyBorder="1" applyAlignment="1" applyProtection="1">
      <alignment horizontal="left" vertical="center" wrapText="1"/>
    </xf>
    <xf numFmtId="164" fontId="30" fillId="14" borderId="11" xfId="0" applyFont="1" applyFill="1" applyBorder="1" applyAlignment="1" applyProtection="1">
      <alignment horizontal="right" vertical="center" indent="1"/>
    </xf>
    <xf numFmtId="164" fontId="30" fillId="14" borderId="21" xfId="0" applyFont="1" applyFill="1" applyBorder="1" applyAlignment="1" applyProtection="1">
      <alignment horizontal="right" vertical="center" indent="1"/>
    </xf>
    <xf numFmtId="164" fontId="30" fillId="14" borderId="24" xfId="0" applyFont="1" applyFill="1" applyBorder="1" applyAlignment="1" applyProtection="1">
      <alignment horizontal="right" vertical="center" indent="1"/>
    </xf>
    <xf numFmtId="164" fontId="33" fillId="14" borderId="23" xfId="0" applyFont="1" applyFill="1" applyBorder="1" applyAlignment="1" applyProtection="1">
      <alignment horizontal="center" vertical="center"/>
    </xf>
    <xf numFmtId="164" fontId="33" fillId="14" borderId="56" xfId="0" applyFont="1" applyFill="1" applyBorder="1" applyAlignment="1" applyProtection="1">
      <alignment horizontal="center" vertical="center"/>
    </xf>
    <xf numFmtId="164" fontId="33" fillId="14" borderId="56" xfId="0" applyFont="1" applyFill="1" applyBorder="1" applyAlignment="1" applyProtection="1">
      <alignment vertical="center"/>
    </xf>
    <xf numFmtId="164" fontId="30" fillId="14" borderId="9" xfId="0" applyFont="1" applyFill="1" applyBorder="1" applyAlignment="1" applyProtection="1">
      <alignment horizontal="right" vertical="center" indent="1"/>
    </xf>
    <xf numFmtId="164" fontId="0" fillId="14" borderId="21" xfId="0" applyFill="1" applyBorder="1" applyAlignment="1">
      <alignment horizontal="right" vertical="center" indent="1"/>
    </xf>
    <xf numFmtId="164" fontId="0" fillId="14" borderId="24" xfId="0" applyFill="1" applyBorder="1" applyAlignment="1">
      <alignment horizontal="right" vertical="center" indent="1"/>
    </xf>
    <xf numFmtId="164" fontId="33" fillId="14" borderId="55" xfId="0" applyFont="1" applyFill="1" applyBorder="1" applyAlignment="1" applyProtection="1">
      <alignment horizontal="center" vertical="center"/>
    </xf>
    <xf numFmtId="164" fontId="33" fillId="14" borderId="57" xfId="0" applyFont="1" applyFill="1" applyBorder="1" applyAlignment="1" applyProtection="1">
      <alignment vertical="center"/>
    </xf>
    <xf numFmtId="164" fontId="30" fillId="14" borderId="53" xfId="0" applyFont="1" applyFill="1" applyBorder="1" applyAlignment="1" applyProtection="1">
      <alignment horizontal="center" vertical="center"/>
    </xf>
    <xf numFmtId="164" fontId="30" fillId="14" borderId="22" xfId="0" applyFont="1" applyFill="1" applyBorder="1" applyAlignment="1" applyProtection="1">
      <alignment horizontal="center" vertical="center"/>
    </xf>
    <xf numFmtId="164" fontId="30" fillId="14" borderId="28" xfId="0" applyFont="1" applyFill="1" applyBorder="1" applyAlignment="1" applyProtection="1">
      <alignment horizontal="right" vertical="center" indent="1"/>
    </xf>
    <xf numFmtId="164" fontId="30" fillId="14" borderId="6" xfId="0" applyFont="1" applyFill="1" applyBorder="1" applyAlignment="1" applyProtection="1">
      <alignment horizontal="right" vertical="center" indent="1"/>
    </xf>
    <xf numFmtId="164" fontId="11" fillId="0" borderId="21" xfId="0" applyFont="1" applyFill="1" applyBorder="1" applyAlignment="1" applyProtection="1">
      <alignment horizontal="left" vertical="center" indent="1"/>
      <protection locked="0"/>
    </xf>
    <xf numFmtId="164" fontId="11" fillId="0" borderId="24" xfId="0" applyFont="1" applyFill="1" applyBorder="1" applyAlignment="1" applyProtection="1">
      <alignment horizontal="left" vertical="center" indent="1"/>
      <protection locked="0"/>
    </xf>
    <xf numFmtId="14" fontId="34" fillId="0" borderId="47" xfId="9" applyNumberFormat="1" applyFont="1" applyFill="1" applyBorder="1" applyAlignment="1" applyProtection="1">
      <alignment horizontal="left" vertical="center" indent="1"/>
      <protection locked="0"/>
    </xf>
    <xf numFmtId="164" fontId="34" fillId="0" borderId="26" xfId="0" applyFont="1" applyFill="1" applyBorder="1" applyAlignment="1" applyProtection="1">
      <alignment horizontal="left" vertical="center" indent="1"/>
      <protection locked="0"/>
    </xf>
    <xf numFmtId="0" fontId="33" fillId="0" borderId="21" xfId="9" applyFont="1" applyFill="1" applyBorder="1" applyAlignment="1" applyProtection="1">
      <alignment horizontal="right" vertical="center" indent="1"/>
      <protection locked="0"/>
    </xf>
    <xf numFmtId="164" fontId="11" fillId="0" borderId="21" xfId="0" applyFont="1" applyFill="1" applyBorder="1" applyAlignment="1" applyProtection="1">
      <alignment horizontal="right" vertical="center" indent="1"/>
      <protection locked="0"/>
    </xf>
    <xf numFmtId="164" fontId="11" fillId="0" borderId="24" xfId="0" applyFont="1" applyFill="1" applyBorder="1" applyAlignment="1" applyProtection="1">
      <alignment horizontal="right" vertical="center" indent="1"/>
      <protection locked="0"/>
    </xf>
    <xf numFmtId="0" fontId="33" fillId="0" borderId="11" xfId="9" applyFont="1" applyFill="1" applyBorder="1" applyAlignment="1" applyProtection="1">
      <alignment horizontal="right" vertical="center" indent="1"/>
      <protection locked="0"/>
    </xf>
    <xf numFmtId="0" fontId="33" fillId="0" borderId="24" xfId="9" applyFont="1" applyFill="1" applyBorder="1" applyAlignment="1" applyProtection="1">
      <alignment horizontal="right" vertical="center" indent="1"/>
      <protection locked="0"/>
    </xf>
    <xf numFmtId="164" fontId="34" fillId="0" borderId="11" xfId="0" applyFont="1" applyFill="1" applyBorder="1" applyAlignment="1" applyProtection="1">
      <alignment horizontal="left" vertical="center" indent="1"/>
      <protection locked="0"/>
    </xf>
    <xf numFmtId="164" fontId="34" fillId="0" borderId="24" xfId="0" applyFont="1" applyFill="1" applyBorder="1" applyAlignment="1" applyProtection="1">
      <alignment horizontal="left" vertical="center" indent="1"/>
      <protection locked="0"/>
    </xf>
    <xf numFmtId="49" fontId="34" fillId="0" borderId="11" xfId="0" applyNumberFormat="1" applyFont="1" applyFill="1" applyBorder="1" applyAlignment="1" applyProtection="1">
      <alignment horizontal="center" vertical="center"/>
      <protection locked="0"/>
    </xf>
    <xf numFmtId="49" fontId="34" fillId="0" borderId="24" xfId="0" applyNumberFormat="1" applyFont="1" applyFill="1" applyBorder="1" applyAlignment="1" applyProtection="1">
      <alignment horizontal="center" vertical="center"/>
      <protection locked="0"/>
    </xf>
    <xf numFmtId="164" fontId="3" fillId="14" borderId="45" xfId="0" applyFont="1" applyFill="1" applyBorder="1" applyAlignment="1" applyProtection="1">
      <alignment horizontal="center" vertical="center"/>
    </xf>
    <xf numFmtId="164" fontId="3" fillId="14" borderId="34" xfId="0" applyFont="1" applyFill="1" applyBorder="1" applyAlignment="1" applyProtection="1">
      <alignment horizontal="center" vertical="center"/>
    </xf>
    <xf numFmtId="164" fontId="3" fillId="14" borderId="35" xfId="0" applyFont="1" applyFill="1" applyBorder="1" applyAlignment="1" applyProtection="1">
      <alignment horizontal="center" vertical="center"/>
    </xf>
    <xf numFmtId="164" fontId="30" fillId="14" borderId="21" xfId="0" applyFont="1" applyFill="1" applyBorder="1" applyAlignment="1" applyProtection="1">
      <alignment horizontal="center" vertical="center"/>
    </xf>
    <xf numFmtId="164" fontId="0" fillId="14" borderId="21" xfId="0" applyFill="1" applyBorder="1" applyAlignment="1">
      <alignment horizontal="center" vertical="center"/>
    </xf>
    <xf numFmtId="164" fontId="0" fillId="14" borderId="24" xfId="0" applyFill="1" applyBorder="1" applyAlignment="1">
      <alignment horizontal="center" vertical="center"/>
    </xf>
    <xf numFmtId="164" fontId="39" fillId="4" borderId="21" xfId="0" applyFont="1" applyFill="1" applyBorder="1" applyAlignment="1" applyProtection="1">
      <alignment horizontal="left" vertical="center" wrapText="1"/>
    </xf>
    <xf numFmtId="164" fontId="39" fillId="4" borderId="24" xfId="0" applyFont="1" applyFill="1" applyBorder="1" applyAlignment="1" applyProtection="1">
      <alignment horizontal="left" vertical="center" wrapText="1"/>
    </xf>
    <xf numFmtId="164" fontId="39" fillId="3" borderId="21" xfId="0" applyFont="1" applyFill="1" applyBorder="1" applyAlignment="1" applyProtection="1">
      <alignment horizontal="left" vertical="center" wrapText="1"/>
    </xf>
    <xf numFmtId="164" fontId="39" fillId="3" borderId="24" xfId="0" applyFont="1" applyFill="1" applyBorder="1" applyAlignment="1" applyProtection="1">
      <alignment horizontal="left" vertical="center" wrapText="1"/>
    </xf>
    <xf numFmtId="0" fontId="34" fillId="18" borderId="47" xfId="9" applyFont="1" applyFill="1" applyBorder="1" applyAlignment="1" applyProtection="1">
      <alignment horizontal="left" vertical="center" indent="1"/>
    </xf>
    <xf numFmtId="164" fontId="11" fillId="18" borderId="25" xfId="0" applyFont="1" applyFill="1" applyBorder="1" applyAlignment="1" applyProtection="1">
      <alignment horizontal="left" vertical="center" indent="1"/>
    </xf>
    <xf numFmtId="164" fontId="11" fillId="18" borderId="26" xfId="0" applyFont="1" applyFill="1" applyBorder="1" applyAlignment="1" applyProtection="1">
      <alignment horizontal="left" vertical="center" indent="1"/>
    </xf>
    <xf numFmtId="0" fontId="33" fillId="14" borderId="31" xfId="9" quotePrefix="1" applyFont="1" applyFill="1" applyBorder="1" applyAlignment="1" applyProtection="1">
      <alignment horizontal="right" vertical="center" indent="1"/>
    </xf>
    <xf numFmtId="164" fontId="33" fillId="14" borderId="31" xfId="0" applyFont="1" applyFill="1" applyBorder="1" applyAlignment="1" applyProtection="1">
      <alignment horizontal="right" vertical="center" indent="1"/>
    </xf>
    <xf numFmtId="164" fontId="33" fillId="14" borderId="42" xfId="0" applyFont="1" applyFill="1" applyBorder="1" applyAlignment="1" applyProtection="1">
      <alignment horizontal="center" vertical="center" wrapText="1"/>
    </xf>
    <xf numFmtId="164" fontId="33" fillId="14" borderId="54" xfId="0" applyFont="1" applyFill="1" applyBorder="1" applyAlignment="1" applyProtection="1">
      <alignment horizontal="center" vertical="center" wrapText="1"/>
    </xf>
    <xf numFmtId="164" fontId="16" fillId="0" borderId="7" xfId="0" applyFont="1" applyFill="1" applyBorder="1" applyAlignment="1" applyProtection="1">
      <alignment horizontal="center" vertical="center"/>
      <protection locked="0"/>
    </xf>
    <xf numFmtId="164" fontId="16" fillId="0" borderId="28" xfId="0" applyFont="1" applyFill="1" applyBorder="1" applyAlignment="1" applyProtection="1">
      <alignment horizontal="center" vertical="center"/>
      <protection locked="0"/>
    </xf>
    <xf numFmtId="164" fontId="33" fillId="14" borderId="6" xfId="0" applyFont="1" applyFill="1" applyBorder="1" applyAlignment="1" applyProtection="1">
      <alignment horizontal="right" vertical="center" indent="1"/>
    </xf>
    <xf numFmtId="164" fontId="33" fillId="14" borderId="22" xfId="0" applyFont="1" applyFill="1" applyBorder="1" applyAlignment="1" applyProtection="1">
      <alignment horizontal="center" vertical="center" wrapText="1"/>
    </xf>
    <xf numFmtId="164" fontId="16" fillId="0" borderId="11" xfId="0" applyFont="1" applyFill="1" applyBorder="1" applyAlignment="1" applyProtection="1">
      <alignment horizontal="center" vertical="center"/>
      <protection locked="0"/>
    </xf>
    <xf numFmtId="164" fontId="16" fillId="0" borderId="24" xfId="0" applyFont="1" applyFill="1" applyBorder="1" applyAlignment="1" applyProtection="1">
      <alignment horizontal="center" vertical="center"/>
      <protection locked="0"/>
    </xf>
    <xf numFmtId="0" fontId="33" fillId="14" borderId="46" xfId="9" applyFont="1" applyFill="1" applyBorder="1" applyAlignment="1" applyProtection="1">
      <alignment horizontal="left" vertical="center" indent="1"/>
    </xf>
    <xf numFmtId="164" fontId="0" fillId="14" borderId="46" xfId="0" applyFill="1" applyBorder="1" applyAlignment="1">
      <alignment horizontal="left" vertical="center" indent="1"/>
    </xf>
    <xf numFmtId="164" fontId="30" fillId="14" borderId="23" xfId="0" applyFont="1" applyFill="1" applyBorder="1" applyAlignment="1" applyProtection="1">
      <alignment horizontal="center" vertical="center"/>
    </xf>
    <xf numFmtId="164" fontId="33" fillId="14" borderId="43" xfId="0" applyFont="1" applyFill="1" applyBorder="1" applyAlignment="1" applyProtection="1">
      <alignment horizontal="center" vertical="center" wrapText="1"/>
    </xf>
    <xf numFmtId="164" fontId="33" fillId="14" borderId="52" xfId="0" applyFont="1" applyFill="1" applyBorder="1" applyAlignment="1" applyProtection="1">
      <alignment horizontal="center" vertical="center" wrapText="1"/>
    </xf>
    <xf numFmtId="164" fontId="33" fillId="14" borderId="53" xfId="0" applyFont="1" applyFill="1" applyBorder="1" applyAlignment="1" applyProtection="1">
      <alignment horizontal="center" vertical="center" wrapText="1"/>
    </xf>
    <xf numFmtId="0" fontId="30" fillId="14" borderId="50" xfId="9" applyFont="1" applyFill="1" applyBorder="1" applyAlignment="1" applyProtection="1">
      <alignment horizontal="right" vertical="center" indent="1"/>
    </xf>
    <xf numFmtId="0" fontId="30" fillId="14" borderId="20" xfId="9" applyFont="1" applyFill="1" applyBorder="1" applyAlignment="1" applyProtection="1">
      <alignment horizontal="right" vertical="center" indent="1"/>
    </xf>
    <xf numFmtId="0" fontId="30" fillId="14" borderId="51" xfId="9" applyFont="1" applyFill="1" applyBorder="1" applyAlignment="1" applyProtection="1">
      <alignment horizontal="right" vertical="center" indent="1"/>
    </xf>
    <xf numFmtId="164" fontId="55" fillId="6" borderId="11" xfId="0" applyFont="1" applyFill="1" applyBorder="1" applyAlignment="1" applyProtection="1">
      <alignment horizontal="right" vertical="center"/>
    </xf>
    <xf numFmtId="164" fontId="55" fillId="6" borderId="21" xfId="0" applyFont="1" applyFill="1" applyBorder="1" applyAlignment="1" applyProtection="1">
      <alignment horizontal="right" vertical="center"/>
    </xf>
    <xf numFmtId="164" fontId="55" fillId="6" borderId="21" xfId="0" applyFont="1" applyFill="1" applyBorder="1" applyAlignment="1" applyProtection="1">
      <alignment horizontal="left" vertical="center"/>
    </xf>
    <xf numFmtId="164" fontId="55" fillId="6" borderId="24" xfId="0" applyFont="1" applyFill="1" applyBorder="1" applyAlignment="1" applyProtection="1">
      <alignment horizontal="left" vertical="center"/>
    </xf>
    <xf numFmtId="164" fontId="40" fillId="5" borderId="22" xfId="0" applyFont="1" applyFill="1" applyBorder="1" applyAlignment="1" applyProtection="1">
      <alignment horizontal="center" vertical="center"/>
    </xf>
    <xf numFmtId="164" fontId="30" fillId="14" borderId="6" xfId="0" applyFont="1" applyFill="1" applyBorder="1" applyAlignment="1" applyProtection="1">
      <alignment horizontal="center" vertical="center"/>
    </xf>
    <xf numFmtId="164" fontId="30" fillId="14" borderId="6" xfId="0" applyFont="1" applyFill="1" applyBorder="1" applyAlignment="1" applyProtection="1">
      <alignment vertical="center"/>
    </xf>
    <xf numFmtId="164" fontId="40" fillId="5" borderId="15" xfId="0" applyFont="1" applyFill="1" applyBorder="1" applyAlignment="1" applyProtection="1">
      <alignment horizontal="center" vertical="center"/>
    </xf>
    <xf numFmtId="164" fontId="39" fillId="4" borderId="21" xfId="0" applyFont="1" applyFill="1" applyBorder="1" applyAlignment="1">
      <alignment horizontal="left" vertical="center" wrapText="1"/>
    </xf>
    <xf numFmtId="164" fontId="39" fillId="4" borderId="24" xfId="0" applyFont="1" applyFill="1" applyBorder="1" applyAlignment="1">
      <alignment horizontal="left" vertical="center" wrapText="1"/>
    </xf>
    <xf numFmtId="0" fontId="33" fillId="0" borderId="48" xfId="9" applyFont="1" applyFill="1" applyBorder="1" applyAlignment="1" applyProtection="1">
      <alignment horizontal="center" vertical="center" wrapText="1"/>
    </xf>
    <xf numFmtId="0" fontId="33" fillId="0" borderId="0" xfId="9" applyFont="1" applyFill="1" applyBorder="1" applyAlignment="1" applyProtection="1">
      <alignment horizontal="center" vertical="center" wrapText="1"/>
    </xf>
    <xf numFmtId="0" fontId="39" fillId="0" borderId="56" xfId="8" applyFont="1" applyFill="1" applyBorder="1" applyAlignment="1" applyProtection="1">
      <alignment horizontal="center" vertical="center"/>
    </xf>
    <xf numFmtId="0" fontId="39" fillId="0" borderId="65" xfId="8" applyFont="1" applyFill="1" applyBorder="1" applyAlignment="1" applyProtection="1">
      <alignment horizontal="center" vertical="center"/>
    </xf>
    <xf numFmtId="0" fontId="39" fillId="0" borderId="36" xfId="8" applyFont="1" applyFill="1" applyBorder="1" applyAlignment="1" applyProtection="1">
      <alignment horizontal="center" vertical="center"/>
    </xf>
    <xf numFmtId="0" fontId="39" fillId="0" borderId="37" xfId="8" applyFont="1" applyFill="1" applyBorder="1" applyAlignment="1" applyProtection="1">
      <alignment horizontal="center" vertical="center"/>
    </xf>
    <xf numFmtId="0" fontId="33" fillId="0" borderId="66" xfId="8" applyFont="1" applyFill="1" applyBorder="1" applyAlignment="1" applyProtection="1">
      <alignment horizontal="right" vertical="center"/>
    </xf>
    <xf numFmtId="0" fontId="33" fillId="0" borderId="13" xfId="8" applyFont="1" applyFill="1" applyBorder="1" applyAlignment="1" applyProtection="1">
      <alignment horizontal="right" vertical="center"/>
    </xf>
    <xf numFmtId="167" fontId="60" fillId="0" borderId="0" xfId="8" applyNumberFormat="1" applyFont="1" applyFill="1" applyBorder="1" applyAlignment="1" applyProtection="1">
      <alignment horizontal="center" vertical="center" wrapText="1"/>
    </xf>
    <xf numFmtId="0" fontId="33" fillId="0" borderId="63" xfId="8" applyFont="1" applyFill="1" applyBorder="1" applyAlignment="1" applyProtection="1">
      <alignment horizontal="right" vertical="center"/>
    </xf>
    <xf numFmtId="0" fontId="33" fillId="0" borderId="54" xfId="8" applyFont="1" applyFill="1" applyBorder="1" applyAlignment="1" applyProtection="1">
      <alignment horizontal="right" vertical="center"/>
    </xf>
    <xf numFmtId="0" fontId="34" fillId="0" borderId="54" xfId="8" applyFont="1" applyFill="1" applyBorder="1" applyAlignment="1" applyProtection="1">
      <alignment horizontal="left" vertical="center"/>
    </xf>
    <xf numFmtId="0" fontId="34" fillId="0" borderId="64" xfId="8" applyFont="1" applyFill="1" applyBorder="1" applyAlignment="1" applyProtection="1">
      <alignment horizontal="left" vertical="center"/>
    </xf>
    <xf numFmtId="0" fontId="28" fillId="14" borderId="5" xfId="8" applyFont="1" applyFill="1" applyBorder="1" applyAlignment="1">
      <alignment horizontal="center" vertical="center"/>
    </xf>
    <xf numFmtId="0" fontId="30" fillId="14" borderId="5" xfId="8" applyFont="1" applyFill="1" applyBorder="1" applyAlignment="1">
      <alignment horizontal="center" vertical="center" wrapText="1"/>
    </xf>
    <xf numFmtId="180" fontId="34" fillId="0" borderId="0" xfId="8" applyNumberFormat="1" applyFont="1" applyBorder="1" applyAlignment="1">
      <alignment horizontal="right" vertical="center"/>
    </xf>
    <xf numFmtId="172" fontId="34" fillId="0" borderId="0" xfId="8" applyNumberFormat="1" applyFont="1" applyBorder="1" applyAlignment="1" applyProtection="1">
      <alignment horizontal="right" vertical="center" indent="1"/>
    </xf>
    <xf numFmtId="167" fontId="37" fillId="0" borderId="0" xfId="8" applyNumberFormat="1" applyFont="1" applyFill="1" applyBorder="1" applyAlignment="1" applyProtection="1">
      <alignment horizontal="center" vertical="center" wrapText="1"/>
    </xf>
    <xf numFmtId="172" fontId="34" fillId="0" borderId="0" xfId="8" applyNumberFormat="1" applyFont="1" applyFill="1" applyBorder="1" applyAlignment="1" applyProtection="1">
      <alignment vertical="center"/>
    </xf>
    <xf numFmtId="0" fontId="30" fillId="14" borderId="0" xfId="8" applyFont="1" applyFill="1" applyBorder="1" applyAlignment="1">
      <alignment horizontal="center" vertical="center" wrapText="1"/>
    </xf>
    <xf numFmtId="172" fontId="34" fillId="0" borderId="5" xfId="8" applyNumberFormat="1" applyFont="1" applyBorder="1" applyAlignment="1" applyProtection="1">
      <alignment horizontal="right" vertical="center" indent="1"/>
    </xf>
    <xf numFmtId="0" fontId="33" fillId="0" borderId="61" xfId="8" applyFont="1" applyFill="1" applyBorder="1" applyAlignment="1" applyProtection="1">
      <alignment horizontal="right" vertical="center" shrinkToFit="1"/>
    </xf>
    <xf numFmtId="0" fontId="33" fillId="0" borderId="29" xfId="8" applyFont="1" applyFill="1" applyBorder="1" applyAlignment="1" applyProtection="1">
      <alignment horizontal="right" vertical="center" shrinkToFit="1"/>
    </xf>
    <xf numFmtId="164" fontId="0" fillId="0" borderId="29" xfId="0" applyBorder="1" applyAlignment="1">
      <alignment shrinkToFit="1"/>
    </xf>
    <xf numFmtId="174" fontId="34" fillId="0" borderId="29" xfId="8" applyNumberFormat="1" applyFont="1" applyFill="1" applyBorder="1" applyAlignment="1" applyProtection="1">
      <alignment horizontal="left" vertical="center"/>
    </xf>
    <xf numFmtId="174" fontId="34" fillId="0" borderId="62" xfId="8" applyNumberFormat="1" applyFont="1" applyFill="1" applyBorder="1" applyAlignment="1" applyProtection="1">
      <alignment horizontal="left" vertical="center"/>
    </xf>
    <xf numFmtId="172" fontId="34" fillId="0" borderId="10" xfId="8" applyNumberFormat="1" applyFont="1" applyBorder="1" applyAlignment="1" applyProtection="1">
      <alignment horizontal="right" vertical="center" indent="1"/>
    </xf>
    <xf numFmtId="0" fontId="37" fillId="0" borderId="0" xfId="8" applyFont="1" applyAlignment="1">
      <alignment horizontal="center" vertical="center" wrapText="1"/>
    </xf>
    <xf numFmtId="0" fontId="37" fillId="0" borderId="0" xfId="8" applyFont="1" applyAlignment="1">
      <alignment horizontal="center" vertical="center"/>
    </xf>
    <xf numFmtId="0" fontId="34" fillId="0" borderId="0" xfId="8" applyNumberFormat="1" applyFont="1" applyAlignment="1" applyProtection="1">
      <alignment horizontal="right" vertical="center" indent="1"/>
    </xf>
    <xf numFmtId="0" fontId="34" fillId="0" borderId="4" xfId="8" applyNumberFormat="1" applyFont="1" applyFill="1" applyBorder="1" applyAlignment="1" applyProtection="1">
      <alignment horizontal="right" indent="1"/>
    </xf>
    <xf numFmtId="0" fontId="34" fillId="0" borderId="60" xfId="8" applyNumberFormat="1" applyFont="1" applyBorder="1" applyAlignment="1" applyProtection="1">
      <alignment horizontal="right" vertical="center" indent="1"/>
    </xf>
    <xf numFmtId="164" fontId="33" fillId="0" borderId="0" xfId="13" applyFont="1" applyAlignment="1">
      <alignment horizontal="left" vertical="top" wrapText="1"/>
    </xf>
    <xf numFmtId="0" fontId="16" fillId="14" borderId="11" xfId="18" applyFont="1" applyFill="1" applyBorder="1" applyAlignment="1" applyProtection="1">
      <alignment horizontal="right"/>
    </xf>
    <xf numFmtId="0" fontId="16" fillId="14" borderId="21" xfId="18" applyFont="1" applyFill="1" applyBorder="1" applyAlignment="1" applyProtection="1">
      <alignment horizontal="right"/>
    </xf>
    <xf numFmtId="0" fontId="16" fillId="14" borderId="45" xfId="18" applyFont="1" applyFill="1" applyBorder="1" applyAlignment="1" applyProtection="1">
      <alignment horizontal="right"/>
    </xf>
    <xf numFmtId="0" fontId="16" fillId="14" borderId="34" xfId="18" applyFont="1" applyFill="1" applyBorder="1" applyAlignment="1" applyProtection="1">
      <alignment horizontal="right"/>
    </xf>
    <xf numFmtId="164" fontId="33" fillId="0" borderId="0" xfId="0" applyFont="1" applyAlignment="1" applyProtection="1">
      <alignment horizontal="left" vertical="center" wrapText="1"/>
    </xf>
    <xf numFmtId="0" fontId="33" fillId="2" borderId="9" xfId="18" applyFont="1" applyFill="1" applyBorder="1" applyAlignment="1" applyProtection="1">
      <alignment horizontal="center"/>
    </xf>
    <xf numFmtId="0" fontId="37" fillId="0" borderId="0" xfId="18" applyFont="1" applyAlignment="1" applyProtection="1">
      <alignment horizontal="left" vertical="center" wrapText="1" indent="1"/>
    </xf>
    <xf numFmtId="0" fontId="33" fillId="14" borderId="65" xfId="18" applyFont="1" applyFill="1" applyBorder="1" applyAlignment="1" applyProtection="1">
      <alignment horizontal="right"/>
    </xf>
    <xf numFmtId="0" fontId="33" fillId="14" borderId="36" xfId="18" applyFont="1" applyFill="1" applyBorder="1" applyAlignment="1" applyProtection="1">
      <alignment horizontal="right"/>
    </xf>
    <xf numFmtId="0" fontId="16" fillId="14" borderId="7" xfId="18" applyFont="1" applyFill="1" applyBorder="1" applyAlignment="1" applyProtection="1">
      <alignment horizontal="right"/>
    </xf>
    <xf numFmtId="0" fontId="16" fillId="14" borderId="29" xfId="18" applyFont="1" applyFill="1" applyBorder="1" applyAlignment="1" applyProtection="1">
      <alignment horizontal="right"/>
    </xf>
    <xf numFmtId="0" fontId="33" fillId="14" borderId="6" xfId="18" applyFont="1" applyFill="1" applyBorder="1" applyAlignment="1" applyProtection="1">
      <alignment horizontal="center"/>
    </xf>
    <xf numFmtId="0" fontId="33" fillId="0" borderId="9" xfId="18" applyFont="1" applyFill="1" applyBorder="1" applyAlignment="1" applyProtection="1">
      <alignment horizontal="center"/>
    </xf>
    <xf numFmtId="0" fontId="33" fillId="6" borderId="11" xfId="10" applyFont="1" applyFill="1" applyBorder="1" applyAlignment="1">
      <alignment horizontal="right" vertical="top" indent="1"/>
    </xf>
    <xf numFmtId="0" fontId="33" fillId="6" borderId="21" xfId="10" applyFont="1" applyFill="1" applyBorder="1" applyAlignment="1">
      <alignment horizontal="right" vertical="top" indent="1"/>
    </xf>
    <xf numFmtId="0" fontId="28" fillId="0" borderId="2" xfId="10" applyFont="1" applyBorder="1" applyAlignment="1">
      <alignment horizontal="left"/>
    </xf>
    <xf numFmtId="0" fontId="33" fillId="5" borderId="47" xfId="10" applyFont="1" applyFill="1" applyBorder="1" applyAlignment="1">
      <alignment horizontal="right" vertical="top" indent="1"/>
    </xf>
    <xf numFmtId="0" fontId="33" fillId="5" borderId="25" xfId="10" applyFont="1" applyFill="1" applyBorder="1" applyAlignment="1">
      <alignment horizontal="right" vertical="top" indent="1"/>
    </xf>
    <xf numFmtId="176" fontId="80" fillId="13" borderId="9" xfId="12" applyNumberFormat="1" applyFont="1" applyFill="1" applyBorder="1" applyAlignment="1">
      <alignment horizontal="center" vertical="center" wrapText="1"/>
    </xf>
    <xf numFmtId="176" fontId="12" fillId="14" borderId="9" xfId="12" applyNumberFormat="1" applyFont="1" applyFill="1" applyBorder="1" applyAlignment="1">
      <alignment horizontal="center" vertical="center"/>
    </xf>
    <xf numFmtId="164" fontId="63" fillId="0" borderId="8" xfId="0" applyFont="1" applyBorder="1" applyAlignment="1">
      <alignment horizontal="center" vertical="center" wrapText="1"/>
    </xf>
    <xf numFmtId="164" fontId="63" fillId="0" borderId="6" xfId="0" applyFont="1" applyBorder="1" applyAlignment="1">
      <alignment horizontal="center" vertical="center" wrapText="1"/>
    </xf>
    <xf numFmtId="176" fontId="12" fillId="14" borderId="24" xfId="12" applyNumberFormat="1" applyFont="1" applyFill="1" applyBorder="1" applyAlignment="1">
      <alignment horizontal="center" vertical="center"/>
    </xf>
    <xf numFmtId="164" fontId="63" fillId="0" borderId="3" xfId="0" applyFont="1" applyBorder="1" applyAlignment="1">
      <alignment horizontal="center" vertical="center" wrapText="1"/>
    </xf>
    <xf numFmtId="164" fontId="63" fillId="0" borderId="9" xfId="0" applyFont="1" applyBorder="1" applyAlignment="1">
      <alignment horizontal="center" vertical="center" wrapText="1"/>
    </xf>
    <xf numFmtId="164" fontId="66" fillId="0" borderId="57" xfId="0" applyFont="1" applyBorder="1" applyAlignment="1">
      <alignment horizontal="center" vertical="center" wrapText="1"/>
    </xf>
    <xf numFmtId="164" fontId="66" fillId="0" borderId="22" xfId="0" applyFont="1" applyBorder="1" applyAlignment="1">
      <alignment horizontal="center" vertical="center" wrapText="1"/>
    </xf>
    <xf numFmtId="176" fontId="12" fillId="13" borderId="11" xfId="12" applyNumberFormat="1" applyFont="1" applyFill="1" applyBorder="1" applyAlignment="1">
      <alignment horizontal="center" vertical="center"/>
    </xf>
    <xf numFmtId="176" fontId="12" fillId="13" borderId="9" xfId="12" applyNumberFormat="1" applyFont="1" applyFill="1" applyBorder="1" applyAlignment="1">
      <alignment horizontal="center" vertical="center"/>
    </xf>
    <xf numFmtId="176" fontId="12" fillId="13" borderId="24" xfId="12" applyNumberFormat="1" applyFont="1" applyFill="1" applyBorder="1" applyAlignment="1">
      <alignment horizontal="center" vertical="center"/>
    </xf>
    <xf numFmtId="0" fontId="33" fillId="3" borderId="11" xfId="10" applyFont="1" applyFill="1" applyBorder="1" applyAlignment="1">
      <alignment horizontal="right" vertical="top" indent="1"/>
    </xf>
    <xf numFmtId="0" fontId="33" fillId="3" borderId="21" xfId="10" applyFont="1" applyFill="1" applyBorder="1" applyAlignment="1">
      <alignment horizontal="right" vertical="top" indent="1"/>
    </xf>
    <xf numFmtId="176" fontId="77" fillId="19" borderId="9" xfId="12" applyNumberFormat="1" applyFont="1" applyFill="1" applyBorder="1" applyAlignment="1">
      <alignment horizontal="center" vertical="center" wrapText="1"/>
    </xf>
    <xf numFmtId="176" fontId="77" fillId="19" borderId="11" xfId="12" applyNumberFormat="1" applyFont="1" applyFill="1" applyBorder="1" applyAlignment="1">
      <alignment horizontal="center" vertical="center" wrapText="1"/>
    </xf>
    <xf numFmtId="164" fontId="33" fillId="14" borderId="24" xfId="0" applyFont="1" applyFill="1" applyBorder="1" applyAlignment="1">
      <alignment vertical="top" wrapText="1"/>
    </xf>
    <xf numFmtId="164" fontId="33" fillId="14" borderId="9" xfId="0" applyFont="1" applyFill="1" applyBorder="1" applyAlignment="1">
      <alignment vertical="top" wrapText="1"/>
    </xf>
    <xf numFmtId="164" fontId="33" fillId="14" borderId="17" xfId="0" applyFont="1" applyFill="1" applyBorder="1" applyAlignment="1">
      <alignment vertical="top" wrapText="1"/>
    </xf>
    <xf numFmtId="164" fontId="33" fillId="14" borderId="24" xfId="0" applyFont="1" applyFill="1" applyBorder="1" applyAlignment="1">
      <alignment horizontal="left" vertical="top" wrapText="1"/>
    </xf>
    <xf numFmtId="164" fontId="33" fillId="14" borderId="9" xfId="0" applyFont="1" applyFill="1" applyBorder="1" applyAlignment="1">
      <alignment horizontal="left" vertical="top" wrapText="1"/>
    </xf>
    <xf numFmtId="164" fontId="33" fillId="0" borderId="21" xfId="0" applyFont="1" applyBorder="1" applyAlignment="1">
      <alignment horizontal="left" vertical="top"/>
    </xf>
    <xf numFmtId="164" fontId="33" fillId="0" borderId="67" xfId="0" applyFont="1" applyBorder="1" applyAlignment="1">
      <alignment horizontal="left" vertical="top"/>
    </xf>
    <xf numFmtId="164" fontId="33" fillId="0" borderId="21" xfId="0" applyFont="1" applyBorder="1" applyAlignment="1">
      <alignment vertical="top" wrapText="1"/>
    </xf>
    <xf numFmtId="164" fontId="33" fillId="0" borderId="67" xfId="0" applyFont="1" applyBorder="1" applyAlignment="1">
      <alignment vertical="top" wrapText="1"/>
    </xf>
    <xf numFmtId="164" fontId="33" fillId="0" borderId="24" xfId="0" applyFont="1" applyBorder="1" applyAlignment="1">
      <alignment horizontal="left" vertical="top" wrapText="1"/>
    </xf>
    <xf numFmtId="164" fontId="33" fillId="0" borderId="9" xfId="0" applyFont="1" applyBorder="1" applyAlignment="1">
      <alignment horizontal="left" vertical="top" wrapText="1"/>
    </xf>
    <xf numFmtId="0" fontId="33" fillId="0" borderId="0" xfId="11" applyFont="1" applyAlignment="1" applyProtection="1">
      <alignment horizontal="left" vertical="top" wrapText="1"/>
    </xf>
    <xf numFmtId="164" fontId="62" fillId="0" borderId="22" xfId="0" applyFont="1" applyFill="1" applyBorder="1" applyAlignment="1"/>
    <xf numFmtId="164" fontId="62" fillId="0" borderId="23" xfId="0" applyFont="1" applyFill="1" applyBorder="1" applyAlignment="1"/>
    <xf numFmtId="164" fontId="33" fillId="0" borderId="28" xfId="0" applyFont="1" applyBorder="1" applyAlignment="1">
      <alignment vertical="top" wrapText="1"/>
    </xf>
    <xf numFmtId="164" fontId="33" fillId="0" borderId="6" xfId="0" applyFont="1" applyBorder="1" applyAlignment="1">
      <alignment vertical="top" wrapText="1"/>
    </xf>
    <xf numFmtId="164" fontId="33" fillId="0" borderId="16" xfId="0" applyFont="1" applyBorder="1" applyAlignment="1">
      <alignment vertical="top" wrapText="1"/>
    </xf>
    <xf numFmtId="164" fontId="33" fillId="0" borderId="28" xfId="0" applyFont="1" applyBorder="1" applyAlignment="1">
      <alignment horizontal="left" vertical="top" wrapText="1"/>
    </xf>
    <xf numFmtId="164" fontId="33" fillId="0" borderId="6" xfId="0" applyFont="1" applyBorder="1" applyAlignment="1">
      <alignment horizontal="left" vertical="top" wrapText="1"/>
    </xf>
    <xf numFmtId="0" fontId="63" fillId="0" borderId="30" xfId="0" applyNumberFormat="1" applyFont="1" applyBorder="1" applyAlignment="1">
      <alignment horizontal="left" vertical="center"/>
    </xf>
    <xf numFmtId="0" fontId="63" fillId="0" borderId="68" xfId="0" applyNumberFormat="1" applyFont="1" applyBorder="1" applyAlignment="1">
      <alignment horizontal="left" vertical="center"/>
    </xf>
    <xf numFmtId="0" fontId="29" fillId="15" borderId="0" xfId="14" applyFont="1" applyFill="1" applyBorder="1" applyAlignment="1">
      <alignment horizontal="center" vertical="center" wrapText="1"/>
    </xf>
    <xf numFmtId="164" fontId="28" fillId="15" borderId="0" xfId="0" applyFont="1" applyFill="1" applyBorder="1" applyAlignment="1">
      <alignment horizontal="center" vertical="center" wrapText="1"/>
    </xf>
    <xf numFmtId="0" fontId="29" fillId="16" borderId="0" xfId="14" applyFont="1" applyFill="1" applyBorder="1" applyAlignment="1">
      <alignment horizontal="center" vertical="center" wrapText="1"/>
    </xf>
  </cellXfs>
  <cellStyles count="21">
    <cellStyle name="Comma0" xfId="1"/>
    <cellStyle name="Currency0" xfId="2"/>
    <cellStyle name="Date" xfId="3"/>
    <cellStyle name="Fixed" xfId="4"/>
    <cellStyle name="Heading 1" xfId="5" builtinId="16" customBuiltin="1"/>
    <cellStyle name="Heading 2" xfId="6" builtinId="17" customBuiltin="1"/>
    <cellStyle name="Hyperlink" xfId="7" builtinId="8"/>
    <cellStyle name="Normal" xfId="0" builtinId="0"/>
    <cellStyle name="Normal_Calculations" xfId="8"/>
    <cellStyle name="Normal_Data Entry Sheet" xfId="9"/>
    <cellStyle name="Normal_GravCal" xfId="10"/>
    <cellStyle name="Normal_Gravimetric Uncertainty Analysis" xfId="11"/>
    <cellStyle name="Normal_kragten2298" xfId="12"/>
    <cellStyle name="Normal_NIST HB 145, SOP 21 - LPG Provers1" xfId="13"/>
    <cellStyle name="Normal_UncRounding_GH" xfId="14"/>
    <cellStyle name="Normal_WA Blank Mass Control Chart" xfId="15"/>
    <cellStyle name="Normal_WAMRF-005 (draft-6), Volume Gravimetric" xfId="16"/>
    <cellStyle name="Normal_WAMRF-006 (Rev. 11), Modified Substitution" xfId="17"/>
    <cellStyle name="Normal_Water Compressibility Factor" xfId="18"/>
    <cellStyle name="Percent" xfId="19" builtinId="5"/>
    <cellStyle name="Total" xfId="20" builtinId="25" customBuiltin="1"/>
  </cellStyles>
  <dxfs count="64">
    <dxf>
      <font>
        <b val="0"/>
        <i/>
        <condense val="0"/>
        <extend val="0"/>
      </font>
    </dxf>
    <dxf>
      <font>
        <b/>
        <i/>
        <condense val="0"/>
        <extend val="0"/>
        <color indexed="9"/>
      </font>
      <fill>
        <patternFill>
          <bgColor indexed="10"/>
        </patternFill>
      </fill>
    </dxf>
    <dxf>
      <font>
        <b/>
        <i/>
        <condense val="0"/>
        <extend val="0"/>
        <color indexed="9"/>
      </font>
      <fill>
        <patternFill>
          <bgColor indexed="17"/>
        </patternFill>
      </fill>
    </dxf>
    <dxf>
      <font>
        <b/>
        <i/>
        <condense val="0"/>
        <extend val="0"/>
        <color indexed="9"/>
      </font>
      <fill>
        <patternFill>
          <bgColor indexed="10"/>
        </patternFill>
      </fill>
    </dxf>
    <dxf>
      <font>
        <b/>
        <i/>
        <condense val="0"/>
        <extend val="0"/>
        <color indexed="9"/>
      </font>
      <fill>
        <patternFill>
          <bgColor indexed="17"/>
        </patternFill>
      </fill>
    </dxf>
    <dxf>
      <font>
        <b/>
        <i/>
        <condense val="0"/>
        <extend val="0"/>
        <color indexed="9"/>
      </font>
      <fill>
        <patternFill>
          <bgColor indexed="10"/>
        </patternFill>
      </fill>
    </dxf>
    <dxf>
      <font>
        <b/>
        <i/>
        <condense val="0"/>
        <extend val="0"/>
        <color indexed="9"/>
      </font>
      <fill>
        <patternFill>
          <bgColor indexed="17"/>
        </patternFill>
      </fill>
    </dxf>
    <dxf>
      <font>
        <b/>
        <i/>
        <condense val="0"/>
        <extend val="0"/>
        <color indexed="9"/>
      </font>
      <fill>
        <patternFill>
          <bgColor indexed="10"/>
        </patternFill>
      </fill>
    </dxf>
    <dxf>
      <font>
        <b/>
        <i/>
        <condense val="0"/>
        <extend val="0"/>
        <color indexed="9"/>
      </font>
      <fill>
        <patternFill>
          <bgColor indexed="17"/>
        </patternFill>
      </fill>
    </dxf>
    <dxf>
      <font>
        <b/>
        <i/>
        <condense val="0"/>
        <extend val="0"/>
        <color indexed="9"/>
      </font>
      <fill>
        <patternFill>
          <bgColor indexed="10"/>
        </patternFill>
      </fill>
    </dxf>
    <dxf>
      <font>
        <b/>
        <i/>
        <condense val="0"/>
        <extend val="0"/>
        <color indexed="9"/>
      </font>
      <fill>
        <patternFill>
          <bgColor indexed="17"/>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92D050"/>
        </patternFill>
      </fill>
    </dxf>
    <dxf>
      <fill>
        <patternFill>
          <bgColor rgb="FFFFFF00"/>
        </patternFill>
      </fill>
    </dxf>
    <dxf>
      <font>
        <b/>
        <i val="0"/>
        <condense val="0"/>
        <extend val="0"/>
      </font>
    </dxf>
    <dxf>
      <font>
        <b/>
        <i val="0"/>
        <condense val="0"/>
        <extend val="0"/>
      </font>
    </dxf>
    <dxf>
      <border outline="0">
        <top style="medium">
          <color indexed="64"/>
        </top>
      </border>
    </dxf>
    <dxf>
      <alignment horizontal="general" vertical="top" textRotation="0" indent="0" relativeIndent="255" justifyLastLine="0" shrinkToFit="0" mergeCell="0" readingOrder="0"/>
    </dxf>
    <dxf>
      <font>
        <b val="0"/>
        <i val="0"/>
        <strike val="0"/>
        <condense val="0"/>
        <extend val="0"/>
        <outline val="0"/>
        <shadow val="0"/>
        <u val="none"/>
        <vertAlign val="baseline"/>
        <sz val="12"/>
        <color auto="1"/>
        <name val="Trebuchet MS"/>
        <scheme val="none"/>
      </font>
      <fill>
        <patternFill patternType="none">
          <fgColor indexed="64"/>
          <bgColor indexed="65"/>
        </patternFill>
      </fill>
      <alignment horizontal="general" vertical="top" textRotation="0" wrapText="0" indent="0" relativeIndent="255" justifyLastLine="0" shrinkToFit="0" mergeCell="0" readingOrder="0"/>
    </dxf>
    <dxf>
      <font>
        <b val="0"/>
        <i val="0"/>
        <strike val="0"/>
        <condense val="0"/>
        <extend val="0"/>
        <outline val="0"/>
        <shadow val="0"/>
        <u val="none"/>
        <vertAlign val="baseline"/>
        <sz val="12"/>
        <color auto="1"/>
        <name val="Trebuchet MS"/>
        <scheme val="none"/>
      </font>
      <fill>
        <patternFill patternType="none">
          <fgColor indexed="64"/>
          <bgColor indexed="65"/>
        </patternFill>
      </fill>
      <alignment horizontal="general" vertical="top" textRotation="0" wrapText="1" indent="0" relativeIndent="255" justifyLastLine="0" shrinkToFit="0" mergeCell="0" readingOrder="0"/>
    </dxf>
    <dxf>
      <font>
        <b val="0"/>
        <i val="0"/>
        <strike val="0"/>
        <condense val="0"/>
        <extend val="0"/>
        <outline val="0"/>
        <shadow val="0"/>
        <u val="none"/>
        <vertAlign val="baseline"/>
        <sz val="12"/>
        <color auto="1"/>
        <name val="Trebuchet MS"/>
        <scheme val="none"/>
      </font>
      <numFmt numFmtId="19" formatCode="m/d/yyyy"/>
      <fill>
        <patternFill patternType="none">
          <fgColor indexed="64"/>
          <bgColor indexed="65"/>
        </patternFill>
      </fill>
      <alignment horizontal="general" vertical="top" textRotation="0" wrapText="0" indent="0" relativeIndent="255" justifyLastLine="0" shrinkToFit="0" mergeCell="0" readingOrder="0"/>
    </dxf>
    <dxf>
      <font>
        <b/>
        <i/>
        <strike val="0"/>
        <condense val="0"/>
        <extend val="0"/>
        <outline val="0"/>
        <shadow val="0"/>
        <u val="none"/>
        <vertAlign val="baseline"/>
        <sz val="12"/>
        <color auto="1"/>
        <name val="Trebuchet MS"/>
        <scheme val="none"/>
      </font>
      <fill>
        <patternFill patternType="none">
          <fgColor indexed="64"/>
          <bgColor indexed="65"/>
        </patternFill>
      </fill>
      <alignment horizontal="center" vertical="top" textRotation="0" wrapText="0" indent="0" relativeIndent="0" justifyLastLine="0" shrinkToFit="0" mergeCell="0" readingOrder="0"/>
    </dxf>
    <dxf>
      <font>
        <b val="0"/>
        <i val="0"/>
        <strike val="0"/>
        <condense val="0"/>
        <extend val="0"/>
        <outline val="0"/>
        <shadow val="0"/>
        <u val="none"/>
        <vertAlign val="baseline"/>
        <sz val="12"/>
        <color auto="1"/>
        <name val="Trebuchet MS"/>
        <scheme val="none"/>
      </font>
      <fill>
        <patternFill patternType="none">
          <fgColor indexed="64"/>
          <bgColor indexed="65"/>
        </patternFill>
      </fill>
      <alignment horizontal="general" vertical="top" textRotation="0" wrapText="1" indent="0" relativeIndent="0" justifyLastLine="0" shrinkToFit="0" mergeCell="0" readingOrder="0"/>
    </dxf>
    <dxf>
      <font>
        <b val="0"/>
        <i val="0"/>
        <strike val="0"/>
        <condense val="0"/>
        <extend val="0"/>
        <outline val="0"/>
        <shadow val="0"/>
        <u val="none"/>
        <vertAlign val="baseline"/>
        <sz val="12"/>
        <color auto="1"/>
        <name val="Trebuchet MS"/>
        <scheme val="none"/>
      </font>
      <numFmt numFmtId="0" formatCode="General"/>
      <fill>
        <patternFill patternType="none">
          <fgColor indexed="64"/>
          <bgColor indexed="65"/>
        </patternFill>
      </fill>
      <alignment horizontal="center" vertical="top" textRotation="0" wrapText="1" indent="0" relativeIndent="0" justifyLastLine="0" shrinkToFit="0" mergeCell="0" readingOrder="0"/>
    </dxf>
    <dxf>
      <font>
        <strike val="0"/>
        <outline val="0"/>
        <shadow val="0"/>
        <u val="none"/>
        <vertAlign val="baseline"/>
        <sz val="12"/>
        <color auto="1"/>
        <name val="Trebuchet MS"/>
        <scheme val="none"/>
      </font>
      <fill>
        <patternFill patternType="none">
          <fgColor indexed="64"/>
          <bgColor indexed="65"/>
        </patternFill>
      </fill>
      <alignment vertical="top" textRotation="0" indent="0" relativeIndent="0" justifyLastLine="0" shrinkToFit="0" mergeCell="0" readingOrder="0"/>
    </dxf>
    <dxf>
      <font>
        <b val="0"/>
        <i val="0"/>
        <strike val="0"/>
        <condense val="0"/>
        <extend val="0"/>
        <outline val="0"/>
        <shadow val="0"/>
        <u val="none"/>
        <vertAlign val="baseline"/>
        <sz val="12"/>
        <color auto="1"/>
        <name val="Trebuchet MS"/>
        <scheme val="none"/>
      </font>
      <fill>
        <patternFill patternType="none">
          <fgColor indexed="64"/>
          <bgColor indexed="65"/>
        </patternFill>
      </fill>
      <alignment horizontal="center" vertical="top" textRotation="0" wrapText="0" indent="0" relativeIndent="0" justifyLastLine="0" shrinkToFit="0" mergeCell="0" readingOrder="0"/>
    </dxf>
    <dxf>
      <font>
        <b val="0"/>
        <i val="0"/>
        <strike val="0"/>
        <condense val="0"/>
        <extend val="0"/>
        <outline val="0"/>
        <shadow val="0"/>
        <u val="none"/>
        <vertAlign val="baseline"/>
        <sz val="12"/>
        <color auto="1"/>
        <name val="Trebuchet MS"/>
        <scheme val="none"/>
      </font>
      <fill>
        <patternFill patternType="none">
          <fgColor indexed="64"/>
          <bgColor indexed="65"/>
        </patternFill>
      </fill>
      <alignment horizontal="center" vertical="top" textRotation="0" wrapText="0" indent="0" relativeIndent="0" justifyLastLine="0" shrinkToFit="0" mergeCell="0" readingOrder="0"/>
    </dxf>
    <dxf>
      <font>
        <b val="0"/>
        <i val="0"/>
        <strike val="0"/>
        <condense val="0"/>
        <extend val="0"/>
        <outline val="0"/>
        <shadow val="0"/>
        <u val="none"/>
        <vertAlign val="baseline"/>
        <sz val="12"/>
        <color auto="1"/>
        <name val="Trebuchet MS"/>
        <scheme val="none"/>
      </font>
      <fill>
        <patternFill patternType="none">
          <fgColor indexed="64"/>
          <bgColor indexed="65"/>
        </patternFill>
      </fill>
      <alignment horizontal="general" vertical="top" textRotation="0" wrapText="1" indent="0" relativeIndent="0" justifyLastLine="0" shrinkToFit="0" mergeCell="0" readingOrder="0"/>
    </dxf>
    <dxf>
      <font>
        <b val="0"/>
        <i val="0"/>
        <strike val="0"/>
        <condense val="0"/>
        <extend val="0"/>
        <outline val="0"/>
        <shadow val="0"/>
        <u val="none"/>
        <vertAlign val="baseline"/>
        <sz val="12"/>
        <color auto="1"/>
        <name val="Trebuchet MS"/>
        <scheme val="none"/>
      </font>
      <numFmt numFmtId="19" formatCode="m/d/yyyy"/>
      <fill>
        <patternFill patternType="none">
          <fgColor indexed="64"/>
          <bgColor indexed="65"/>
        </patternFill>
      </fill>
      <alignment horizontal="center" vertical="top" textRotation="0" wrapText="0" indent="0" relativeIndent="0" justifyLastLine="0" shrinkToFit="0" mergeCell="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8.0299827846788352E-2"/>
          <c:y val="5.1428667092014692E-2"/>
          <c:w val="0.90471139374048204"/>
          <c:h val="0.80762054988941567"/>
        </c:manualLayout>
      </c:layout>
      <c:lineChart>
        <c:grouping val="standard"/>
        <c:ser>
          <c:idx val="1"/>
          <c:order val="0"/>
          <c:tx>
            <c:strRef>
              <c:f>'Pressure Corrections'!$C$20</c:f>
              <c:strCache>
                <c:ptCount val="1"/>
                <c:pt idx="0">
                  <c:v>Pressure Correction (Pcorr) (in³)¹</c:v>
                </c:pt>
              </c:strCache>
            </c:strRef>
          </c:tx>
          <c:spPr>
            <a:ln w="12700">
              <a:solidFill>
                <a:srgbClr val="000080"/>
              </a:solidFill>
              <a:prstDash val="solid"/>
            </a:ln>
          </c:spPr>
          <c:marker>
            <c:symbol val="square"/>
            <c:size val="5"/>
            <c:spPr>
              <a:solidFill>
                <a:srgbClr val="000080"/>
              </a:solidFill>
              <a:ln>
                <a:solidFill>
                  <a:srgbClr val="000080"/>
                </a:solidFill>
                <a:prstDash val="solid"/>
              </a:ln>
            </c:spPr>
          </c:marker>
          <c:cat>
            <c:numRef>
              <c:f>'Pressure Corrections'!$A$21:$A$41</c:f>
              <c:numCache>
                <c:formatCode>General</c:formatCode>
                <c:ptCount val="2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numCache>
            </c:numRef>
          </c:cat>
          <c:val>
            <c:numRef>
              <c:f>'Pressure Corrections'!$C$21:$C$41</c:f>
              <c:numCache>
                <c:formatCode>0.0##\ ###</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marker val="1"/>
        <c:axId val="129641856"/>
        <c:axId val="129661184"/>
      </c:lineChart>
      <c:catAx>
        <c:axId val="129641856"/>
        <c:scaling>
          <c:orientation val="minMax"/>
        </c:scaling>
        <c:axPos val="b"/>
        <c:title>
          <c:tx>
            <c:rich>
              <a:bodyPr/>
              <a:lstStyle/>
              <a:p>
                <a:pPr>
                  <a:defRPr sz="1050" b="0" i="0" u="none" strike="noStrike" baseline="0">
                    <a:solidFill>
                      <a:srgbClr val="000000"/>
                    </a:solidFill>
                    <a:latin typeface="Trebuchet MS"/>
                    <a:ea typeface="Trebuchet MS"/>
                    <a:cs typeface="Trebuchet MS"/>
                  </a:defRPr>
                </a:pPr>
                <a:r>
                  <a:rPr lang="en-US"/>
                  <a:t>Pressure (psig)</a:t>
                </a:r>
              </a:p>
            </c:rich>
          </c:tx>
          <c:layout>
            <c:manualLayout>
              <c:xMode val="edge"/>
              <c:yMode val="edge"/>
              <c:x val="0.48072827620316194"/>
              <c:y val="0.92000179977502816"/>
            </c:manualLayout>
          </c:layout>
          <c:spPr>
            <a:noFill/>
            <a:ln w="25400">
              <a:noFill/>
            </a:ln>
          </c:spPr>
        </c:title>
        <c:numFmt formatCode="General" sourceLinked="1"/>
        <c:tickLblPos val="low"/>
        <c:spPr>
          <a:ln w="3175">
            <a:solidFill>
              <a:srgbClr val="000000"/>
            </a:solidFill>
            <a:prstDash val="solid"/>
          </a:ln>
        </c:spPr>
        <c:txPr>
          <a:bodyPr rot="0" vert="horz"/>
          <a:lstStyle/>
          <a:p>
            <a:pPr>
              <a:defRPr sz="1050" b="0" i="0" u="none" strike="noStrike" baseline="0">
                <a:solidFill>
                  <a:srgbClr val="000000"/>
                </a:solidFill>
                <a:latin typeface="Tahoma"/>
                <a:ea typeface="Tahoma"/>
                <a:cs typeface="Tahoma"/>
              </a:defRPr>
            </a:pPr>
            <a:endParaRPr lang="en-US"/>
          </a:p>
        </c:txPr>
        <c:crossAx val="129661184"/>
        <c:crosses val="autoZero"/>
        <c:auto val="1"/>
        <c:lblAlgn val="ctr"/>
        <c:lblOffset val="100"/>
        <c:tickLblSkip val="1"/>
        <c:tickMarkSkip val="1"/>
      </c:catAx>
      <c:valAx>
        <c:axId val="129661184"/>
        <c:scaling>
          <c:orientation val="minMax"/>
        </c:scaling>
        <c:axPos val="l"/>
        <c:majorGridlines>
          <c:spPr>
            <a:ln w="3175">
              <a:solidFill>
                <a:srgbClr val="000000"/>
              </a:solidFill>
              <a:prstDash val="solid"/>
            </a:ln>
          </c:spPr>
        </c:majorGridlines>
        <c:title>
          <c:tx>
            <c:rich>
              <a:bodyPr/>
              <a:lstStyle/>
              <a:p>
                <a:pPr>
                  <a:defRPr sz="1050" b="0" i="0" u="none" strike="noStrike" baseline="0">
                    <a:solidFill>
                      <a:srgbClr val="000000"/>
                    </a:solidFill>
                    <a:latin typeface="Trebuchet MS"/>
                    <a:ea typeface="Trebuchet MS"/>
                    <a:cs typeface="Trebuchet MS"/>
                  </a:defRPr>
                </a:pPr>
                <a:r>
                  <a:rPr lang="en-US"/>
                  <a:t>Correction</a:t>
                </a:r>
              </a:p>
            </c:rich>
          </c:tx>
          <c:layout>
            <c:manualLayout>
              <c:xMode val="edge"/>
              <c:yMode val="edge"/>
              <c:x val="1.7130620985010708E-2"/>
              <c:y val="0.38857222847144102"/>
            </c:manualLayout>
          </c:layout>
          <c:spPr>
            <a:noFill/>
            <a:ln w="25400">
              <a:noFill/>
            </a:ln>
          </c:spPr>
        </c:title>
        <c:numFmt formatCode="General" sourceLinked="0"/>
        <c:tickLblPos val="nextTo"/>
        <c:spPr>
          <a:ln w="3175">
            <a:solidFill>
              <a:srgbClr val="000000"/>
            </a:solidFill>
            <a:prstDash val="solid"/>
          </a:ln>
        </c:spPr>
        <c:txPr>
          <a:bodyPr rot="0" vert="horz"/>
          <a:lstStyle/>
          <a:p>
            <a:pPr>
              <a:defRPr sz="1050" b="0" i="0" u="none" strike="noStrike" baseline="0">
                <a:solidFill>
                  <a:srgbClr val="000000"/>
                </a:solidFill>
                <a:latin typeface="Tahoma"/>
                <a:ea typeface="Tahoma"/>
                <a:cs typeface="Tahoma"/>
              </a:defRPr>
            </a:pPr>
            <a:endParaRPr lang="en-US"/>
          </a:p>
        </c:txPr>
        <c:crossAx val="129641856"/>
        <c:crosses val="autoZero"/>
        <c:crossBetween val="between"/>
      </c:valAx>
      <c:spPr>
        <a:solidFill>
          <a:srgbClr val="EAEAEA"/>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425" b="0" i="0" u="none" strike="noStrike" baseline="0">
          <a:solidFill>
            <a:srgbClr val="000000"/>
          </a:solidFill>
          <a:latin typeface="Tahoma"/>
          <a:ea typeface="Tahoma"/>
          <a:cs typeface="Tahoma"/>
        </a:defRPr>
      </a:pPr>
      <a:endParaRPr lang="en-US"/>
    </a:p>
  </c:txPr>
  <c:printSettings>
    <c:headerFooter alignWithMargins="0"/>
    <c:pageMargins b="1" l="0.75000000000000056" r="0.75000000000000056" t="1" header="0.5" footer="0.5"/>
    <c:pageSetup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9.5467695274831246E-2"/>
          <c:y val="8.7533156498673742E-2"/>
          <c:w val="0.88621022179363496"/>
          <c:h val="0.77188328912466841"/>
        </c:manualLayout>
      </c:layout>
      <c:barChart>
        <c:barDir val="col"/>
        <c:grouping val="clustered"/>
        <c:ser>
          <c:idx val="0"/>
          <c:order val="0"/>
          <c:spPr>
            <a:solidFill>
              <a:srgbClr val="9999FF"/>
            </a:solidFill>
            <a:ln w="12700">
              <a:solidFill>
                <a:srgbClr val="000000"/>
              </a:solidFill>
              <a:prstDash val="solid"/>
            </a:ln>
          </c:spPr>
          <c:cat>
            <c:strRef>
              <c:f>'Uncertainty Analysis'!$C$49:$K$49</c:f>
              <c:strCache>
                <c:ptCount val="9"/>
                <c:pt idx="0">
                  <c:v>u(VStrefS)</c:v>
                </c:pt>
                <c:pt idx="1">
                  <c:v>u(Δ (sp))</c:v>
                </c:pt>
                <c:pt idx="2">
                  <c:v>u(α)</c:v>
                </c:pt>
                <c:pt idx="3">
                  <c:v>u(β)</c:v>
                </c:pt>
                <c:pt idx="4">
                  <c:v>u(tS)</c:v>
                </c:pt>
                <c:pt idx="5">
                  <c:v>u(tX)</c:v>
                </c:pt>
                <c:pt idx="6">
                  <c:v>u(ρwS)</c:v>
                </c:pt>
                <c:pt idx="7">
                  <c:v>u(ρwX)</c:v>
                </c:pt>
                <c:pt idx="8">
                  <c:v>u(Sr)</c:v>
                </c:pt>
              </c:strCache>
            </c:strRef>
          </c:cat>
          <c:val>
            <c:numRef>
              <c:f>'Uncertainty Analysis'!$C$66:$K$66</c:f>
              <c:numCache>
                <c:formatCode>0.0##\ ###%</c:formatCode>
                <c:ptCount val="9"/>
                <c:pt idx="0">
                  <c:v>0</c:v>
                </c:pt>
                <c:pt idx="1">
                  <c:v>0</c:v>
                </c:pt>
                <c:pt idx="2">
                  <c:v>0</c:v>
                </c:pt>
                <c:pt idx="3">
                  <c:v>0</c:v>
                </c:pt>
                <c:pt idx="4">
                  <c:v>0</c:v>
                </c:pt>
                <c:pt idx="5">
                  <c:v>0</c:v>
                </c:pt>
                <c:pt idx="6">
                  <c:v>0</c:v>
                </c:pt>
                <c:pt idx="7">
                  <c:v>0</c:v>
                </c:pt>
                <c:pt idx="8">
                  <c:v>0</c:v>
                </c:pt>
              </c:numCache>
            </c:numRef>
          </c:val>
        </c:ser>
        <c:axId val="129685376"/>
        <c:axId val="129686912"/>
      </c:barChart>
      <c:catAx>
        <c:axId val="129685376"/>
        <c:scaling>
          <c:orientation val="minMax"/>
        </c:scaling>
        <c:axPos val="b"/>
        <c:numFmt formatCode="General" sourceLinked="1"/>
        <c:tickLblPos val="nextTo"/>
        <c:spPr>
          <a:ln w="3175">
            <a:solidFill>
              <a:srgbClr val="000000"/>
            </a:solidFill>
            <a:prstDash val="solid"/>
          </a:ln>
        </c:spPr>
        <c:txPr>
          <a:bodyPr rot="0" vert="horz"/>
          <a:lstStyle/>
          <a:p>
            <a:pPr>
              <a:defRPr sz="1200" b="0" i="0" u="none" strike="noStrike" baseline="0">
                <a:solidFill>
                  <a:srgbClr val="000000"/>
                </a:solidFill>
                <a:latin typeface="Tahoma"/>
                <a:ea typeface="Tahoma"/>
                <a:cs typeface="Tahoma"/>
              </a:defRPr>
            </a:pPr>
            <a:endParaRPr lang="en-US"/>
          </a:p>
        </c:txPr>
        <c:crossAx val="129686912"/>
        <c:crosses val="autoZero"/>
        <c:auto val="1"/>
        <c:lblAlgn val="ctr"/>
        <c:lblOffset val="100"/>
        <c:tickLblSkip val="1"/>
        <c:tickMarkSkip val="1"/>
      </c:catAx>
      <c:valAx>
        <c:axId val="129686912"/>
        <c:scaling>
          <c:orientation val="minMax"/>
          <c:max val="1"/>
        </c:scaling>
        <c:axPos val="l"/>
        <c:majorGridlines>
          <c:spPr>
            <a:ln w="3175">
              <a:solidFill>
                <a:srgbClr val="000000"/>
              </a:solidFill>
              <a:prstDash val="solid"/>
            </a:ln>
          </c:spPr>
        </c:majorGridlines>
        <c:numFmt formatCode="0.0##\ ###%" sourceLinked="1"/>
        <c:tickLblPos val="nextTo"/>
        <c:spPr>
          <a:ln w="3175">
            <a:solidFill>
              <a:srgbClr val="000000"/>
            </a:solidFill>
            <a:prstDash val="solid"/>
          </a:ln>
        </c:spPr>
        <c:txPr>
          <a:bodyPr rot="0" vert="horz"/>
          <a:lstStyle/>
          <a:p>
            <a:pPr>
              <a:defRPr sz="1200" b="0" i="0" u="none" strike="noStrike" baseline="0">
                <a:solidFill>
                  <a:srgbClr val="000000"/>
                </a:solidFill>
                <a:latin typeface="Tahoma"/>
                <a:ea typeface="Tahoma"/>
                <a:cs typeface="Tahoma"/>
              </a:defRPr>
            </a:pPr>
            <a:endParaRPr lang="en-US"/>
          </a:p>
        </c:txPr>
        <c:crossAx val="129685376"/>
        <c:crosses val="autoZero"/>
        <c:crossBetween val="between"/>
        <c:minorUnit val="2.0000000000000011E-2"/>
      </c:valAx>
      <c:spPr>
        <a:solidFill>
          <a:schemeClr val="bg2"/>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4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56" r="0.75000000000000056" t="1" header="0.5" footer="0.5"/>
    <c:pageSetup orientation="landscape"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3.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3</xdr:col>
      <xdr:colOff>85725</xdr:colOff>
      <xdr:row>0</xdr:row>
      <xdr:rowOff>57150</xdr:rowOff>
    </xdr:from>
    <xdr:to>
      <xdr:col>3</xdr:col>
      <xdr:colOff>800100</xdr:colOff>
      <xdr:row>3</xdr:row>
      <xdr:rowOff>190500</xdr:rowOff>
    </xdr:to>
    <xdr:pic>
      <xdr:nvPicPr>
        <xdr:cNvPr id="25644" name="Picture 1" descr="George-color"/>
        <xdr:cNvPicPr>
          <a:picLocks noChangeAspect="1" noChangeArrowheads="1"/>
        </xdr:cNvPicPr>
      </xdr:nvPicPr>
      <xdr:blipFill>
        <a:blip xmlns:r="http://schemas.openxmlformats.org/officeDocument/2006/relationships" r:embed="rId1" cstate="print"/>
        <a:srcRect/>
        <a:stretch>
          <a:fillRect/>
        </a:stretch>
      </xdr:blipFill>
      <xdr:spPr bwMode="auto">
        <a:xfrm>
          <a:off x="2857500" y="57150"/>
          <a:ext cx="714375" cy="733425"/>
        </a:xfrm>
        <a:prstGeom prst="rect">
          <a:avLst/>
        </a:prstGeom>
        <a:solidFill>
          <a:srgbClr val="008000"/>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33</xdr:row>
      <xdr:rowOff>76200</xdr:rowOff>
    </xdr:from>
    <xdr:to>
      <xdr:col>4</xdr:col>
      <xdr:colOff>1771650</xdr:colOff>
      <xdr:row>55</xdr:row>
      <xdr:rowOff>47625</xdr:rowOff>
    </xdr:to>
    <xdr:graphicFrame macro="">
      <xdr:nvGraphicFramePr>
        <xdr:cNvPr id="3177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70</xdr:row>
      <xdr:rowOff>57150</xdr:rowOff>
    </xdr:from>
    <xdr:to>
      <xdr:col>10</xdr:col>
      <xdr:colOff>866775</xdr:colOff>
      <xdr:row>85</xdr:row>
      <xdr:rowOff>219075</xdr:rowOff>
    </xdr:to>
    <xdr:graphicFrame macro="">
      <xdr:nvGraphicFramePr>
        <xdr:cNvPr id="1538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NIST%20HB%20145,%20SOP%2021%20-%20LPG%20Provers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vmiller1\Local%20Settings\Temporary%20Internet%20Files\Content.Outlook\HXVBPAPD\Uncertainties\GravC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vmiller1\Local%20Settings\Temporary%20Internet%20Files\Content.Outlook\HXVBPAPD\Volume%20Calibrations\Volume%20Workbook%20Templates\Uncertainties\GravC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145LPG"/>
      <sheetName val="Current"/>
      <sheetName val="Pcorr Table &amp; Chart"/>
    </sheetNames>
    <sheetDataSet>
      <sheetData sheetId="0" refreshError="1">
        <row r="67">
          <cell r="F67">
            <v>1</v>
          </cell>
        </row>
        <row r="99">
          <cell r="G99">
            <v>0</v>
          </cell>
          <cell r="I99">
            <v>0</v>
          </cell>
          <cell r="J99" t="e">
            <v>#VALUE!</v>
          </cell>
        </row>
        <row r="100">
          <cell r="G100">
            <v>10</v>
          </cell>
          <cell r="I100">
            <v>0</v>
          </cell>
          <cell r="J100" t="e">
            <v>#VALUE!</v>
          </cell>
        </row>
        <row r="101">
          <cell r="G101">
            <v>20</v>
          </cell>
          <cell r="I101">
            <v>0</v>
          </cell>
          <cell r="J101" t="e">
            <v>#VALUE!</v>
          </cell>
        </row>
        <row r="102">
          <cell r="G102">
            <v>30</v>
          </cell>
          <cell r="I102">
            <v>0</v>
          </cell>
          <cell r="J102" t="e">
            <v>#VALUE!</v>
          </cell>
        </row>
        <row r="103">
          <cell r="G103">
            <v>40</v>
          </cell>
          <cell r="I103">
            <v>0</v>
          </cell>
          <cell r="J103" t="e">
            <v>#VALUE!</v>
          </cell>
        </row>
        <row r="104">
          <cell r="G104">
            <v>50</v>
          </cell>
          <cell r="I104">
            <v>0</v>
          </cell>
          <cell r="J104" t="e">
            <v>#VALUE!</v>
          </cell>
        </row>
        <row r="105">
          <cell r="G105">
            <v>60</v>
          </cell>
          <cell r="I105">
            <v>0</v>
          </cell>
          <cell r="J105" t="e">
            <v>#VALUE!</v>
          </cell>
        </row>
        <row r="106">
          <cell r="G106">
            <v>70</v>
          </cell>
          <cell r="I106">
            <v>0</v>
          </cell>
          <cell r="J106" t="e">
            <v>#VALUE!</v>
          </cell>
        </row>
        <row r="107">
          <cell r="G107">
            <v>80</v>
          </cell>
          <cell r="I107">
            <v>0</v>
          </cell>
          <cell r="J107" t="e">
            <v>#VALUE!</v>
          </cell>
        </row>
        <row r="108">
          <cell r="G108">
            <v>90</v>
          </cell>
          <cell r="I108">
            <v>0</v>
          </cell>
          <cell r="J108" t="e">
            <v>#VALUE!</v>
          </cell>
        </row>
        <row r="109">
          <cell r="G109">
            <v>100</v>
          </cell>
          <cell r="I109">
            <v>0</v>
          </cell>
          <cell r="J109" t="e">
            <v>#VALUE!</v>
          </cell>
        </row>
        <row r="110">
          <cell r="G110">
            <v>110</v>
          </cell>
          <cell r="I110">
            <v>0</v>
          </cell>
          <cell r="J110" t="e">
            <v>#VALUE!</v>
          </cell>
        </row>
        <row r="111">
          <cell r="G111">
            <v>120</v>
          </cell>
          <cell r="I111">
            <v>0</v>
          </cell>
          <cell r="J111" t="e">
            <v>#VALUE!</v>
          </cell>
        </row>
        <row r="112">
          <cell r="G112">
            <v>130</v>
          </cell>
          <cell r="I112">
            <v>0</v>
          </cell>
          <cell r="J112" t="e">
            <v>#VALUE!</v>
          </cell>
        </row>
        <row r="113">
          <cell r="G113">
            <v>140</v>
          </cell>
          <cell r="I113">
            <v>0</v>
          </cell>
          <cell r="J113" t="e">
            <v>#VALUE!</v>
          </cell>
        </row>
        <row r="114">
          <cell r="G114">
            <v>150</v>
          </cell>
          <cell r="I114">
            <v>0</v>
          </cell>
          <cell r="J114" t="e">
            <v>#VALUE!</v>
          </cell>
        </row>
        <row r="115">
          <cell r="G115">
            <v>160</v>
          </cell>
          <cell r="I115">
            <v>0</v>
          </cell>
          <cell r="J115" t="e">
            <v>#VALUE!</v>
          </cell>
        </row>
        <row r="116">
          <cell r="G116">
            <v>170</v>
          </cell>
          <cell r="I116">
            <v>0</v>
          </cell>
          <cell r="J116" t="e">
            <v>#VALUE!</v>
          </cell>
        </row>
        <row r="117">
          <cell r="G117">
            <v>180</v>
          </cell>
          <cell r="I117">
            <v>0</v>
          </cell>
          <cell r="J117" t="e">
            <v>#VALUE!</v>
          </cell>
        </row>
        <row r="118">
          <cell r="G118">
            <v>190</v>
          </cell>
          <cell r="I118">
            <v>0</v>
          </cell>
          <cell r="J118" t="e">
            <v>#VALUE!</v>
          </cell>
        </row>
      </sheetData>
      <sheetData sheetId="1" refreshError="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 Liter"/>
      <sheetName val="5 Gallon"/>
      <sheetName val="5 Gal Unc"/>
      <sheetName val="CIPM Air Density 1981_91"/>
      <sheetName val="Water Density"/>
      <sheetName val="Water Density Chart"/>
      <sheetName val="Water Density Chart 2"/>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 Liter"/>
      <sheetName val="5 Gallon"/>
      <sheetName val="5 Gal Unc"/>
      <sheetName val="CIPM Air Density 1981_91"/>
      <sheetName val="Water Density"/>
      <sheetName val="Water Density Chart"/>
      <sheetName val="Water Density Chart 2"/>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ables/table1.xml><?xml version="1.0" encoding="utf-8"?>
<table xmlns="http://schemas.openxmlformats.org/spreadsheetml/2006/main" id="1" name="List1" displayName="List1" ref="A2:C30" totalsRowShown="0" headerRowDxfId="60" dataDxfId="59">
  <autoFilter ref="A2:C30"/>
  <tableColumns count="3">
    <tableColumn id="1" name="Date" dataDxfId="63"/>
    <tableColumn id="2" name="Description" dataDxfId="62"/>
    <tableColumn id="3" name="Initials" dataDxfId="61"/>
  </tableColumns>
  <tableStyleInfo name="TableStyleMedium4" showFirstColumn="0" showLastColumn="0" showRowStripes="1" showColumnStripes="0"/>
</table>
</file>

<file path=xl/tables/table2.xml><?xml version="1.0" encoding="utf-8"?>
<table xmlns="http://schemas.openxmlformats.org/spreadsheetml/2006/main" id="2" name="List13" displayName="List13" ref="A2:B8" totalsRowShown="0" headerRowDxfId="56">
  <autoFilter ref="A2:B8"/>
  <tableColumns count="2">
    <tableColumn id="1" name="No." dataDxfId="58" dataCellStyle="Normal_WA Blank Mass Control Chart"/>
    <tableColumn id="2" name="Description" dataDxfId="57" dataCellStyle="Normal_WA Blank Mass Control Chart"/>
  </tableColumns>
  <tableStyleInfo name="TableStyleMedium6" showFirstColumn="0" showLastColumn="0" showRowStripes="1" showColumnStripes="0"/>
</table>
</file>

<file path=xl/tables/table3.xml><?xml version="1.0" encoding="utf-8"?>
<table xmlns="http://schemas.openxmlformats.org/spreadsheetml/2006/main" id="3" name="Table3" displayName="Table3" ref="A10:B93" totalsRowShown="0" headerRowDxfId="53" dataDxfId="52" tableBorderDxfId="51">
  <autoFilter ref="A10:B93"/>
  <tableColumns count="2">
    <tableColumn id="1" name="Date" dataDxfId="55"/>
    <tableColumn id="2" name="Description" dataDxfId="54"/>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AEAEA"/>
        </a:solidFill>
        <a:ln w="9525" cap="flat" cmpd="sng" algn="ctr">
          <a:noFill/>
          <a:prstDash val="solid"/>
          <a:round/>
          <a:headEnd type="none" w="med" len="med"/>
          <a:tailEnd type="none" w="med" len="med"/>
        </a:ln>
        <a:effectLst/>
        <a:scene3d>
          <a:camera prst="legacyPerspectiveTopRight"/>
          <a:lightRig rig="legacyFlat4" dir="t"/>
        </a:scene3d>
        <a:sp3d extrusionH="887400" prstMaterial="legacyMatte">
          <a:bevelT w="13500" h="13500" prst="angle"/>
          <a:bevelB w="13500" h="13500" prst="angle"/>
          <a:extrusionClr>
            <a:srgbClr val="99CCFF"/>
          </a:extrusionClr>
        </a:sp3d>
      </a:spPr>
      <a:bodyPr vertOverflow="clip" wrap="square" lIns="18288" tIns="0" rIns="0" bIns="0" upright="1"/>
      <a:lstStyle/>
    </a:spDef>
    <a:lnDef>
      <a:spPr bwMode="auto">
        <a:xfrm>
          <a:off x="0" y="0"/>
          <a:ext cx="1" cy="1"/>
        </a:xfrm>
        <a:custGeom>
          <a:avLst/>
          <a:gdLst/>
          <a:ahLst/>
          <a:cxnLst/>
          <a:rect l="0" t="0" r="0" b="0"/>
          <a:pathLst/>
        </a:custGeom>
        <a:solidFill>
          <a:srgbClr val="EAEAEA"/>
        </a:solidFill>
        <a:ln w="9525" cap="flat" cmpd="sng" algn="ctr">
          <a:noFill/>
          <a:prstDash val="solid"/>
          <a:round/>
          <a:headEnd type="none" w="med" len="med"/>
          <a:tailEnd type="none" w="med" len="med"/>
        </a:ln>
        <a:effectLst/>
        <a:scene3d>
          <a:camera prst="legacyPerspectiveTopRight"/>
          <a:lightRig rig="legacyFlat4" dir="t"/>
        </a:scene3d>
        <a:sp3d extrusionH="887400" prstMaterial="legacyMatte">
          <a:bevelT w="13500" h="13500" prst="angle"/>
          <a:bevelB w="13500" h="13500" prst="angle"/>
          <a:extrusionClr>
            <a:srgbClr val="99CCFF"/>
          </a:extrusionClr>
        </a:sp3d>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oleObject" Target="../embeddings/oleObject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openxmlformats.org/officeDocument/2006/relationships/oleObject" Target="../embeddings/oleObject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enableFormatConditionsCalculation="0">
    <tabColor indexed="51"/>
    <pageSetUpPr autoPageBreaks="0"/>
  </sheetPr>
  <dimension ref="A1:I225"/>
  <sheetViews>
    <sheetView showGridLines="0" showZeros="0" showOutlineSymbols="0" workbookViewId="0">
      <pane ySplit="2" topLeftCell="A24" activePane="bottomLeft" state="frozenSplit"/>
      <selection pane="bottomLeft" activeCell="A30" sqref="A30"/>
    </sheetView>
  </sheetViews>
  <sheetFormatPr defaultColWidth="0" defaultRowHeight="18"/>
  <cols>
    <col min="1" max="1" width="13.33203125" style="378" customWidth="1"/>
    <col min="2" max="2" width="52.88671875" style="349" customWidth="1"/>
    <col min="3" max="3" width="10.6640625" style="349" customWidth="1"/>
    <col min="4" max="4" width="3.77734375" style="349" customWidth="1"/>
    <col min="5" max="8" width="9.77734375" style="349" hidden="1" customWidth="1"/>
    <col min="9" max="9" width="9.21875" style="349" hidden="1" customWidth="1"/>
    <col min="10" max="16384" width="8.88671875" style="349" hidden="1"/>
  </cols>
  <sheetData>
    <row r="1" spans="1:8" s="378" customFormat="1" ht="20.25" thickBot="1">
      <c r="A1" s="381" t="s">
        <v>78</v>
      </c>
      <c r="B1" s="382"/>
      <c r="C1" s="377" t="str">
        <f>IF(ISBLANK(RptNo),"","Report Number: "&amp;RptNo)</f>
        <v/>
      </c>
      <c r="D1" s="383"/>
      <c r="E1" s="383"/>
      <c r="F1" s="383"/>
      <c r="G1" s="383"/>
    </row>
    <row r="2" spans="1:8" s="378" customFormat="1">
      <c r="A2" s="386" t="s">
        <v>319</v>
      </c>
      <c r="B2" s="386" t="s">
        <v>8</v>
      </c>
      <c r="C2" s="386" t="s">
        <v>342</v>
      </c>
      <c r="D2" s="383"/>
      <c r="E2" s="383"/>
      <c r="F2" s="383"/>
      <c r="G2" s="383"/>
      <c r="H2" s="379"/>
    </row>
    <row r="3" spans="1:8" s="378" customFormat="1">
      <c r="A3" s="384">
        <v>38016</v>
      </c>
      <c r="B3" s="385" t="s">
        <v>374</v>
      </c>
      <c r="C3" s="386" t="s">
        <v>343</v>
      </c>
      <c r="D3" s="383"/>
      <c r="E3" s="383"/>
      <c r="F3" s="383"/>
      <c r="G3" s="383"/>
      <c r="H3" s="379"/>
    </row>
    <row r="4" spans="1:8" s="378" customFormat="1" ht="36">
      <c r="A4" s="384">
        <v>38049</v>
      </c>
      <c r="B4" s="385" t="s">
        <v>346</v>
      </c>
      <c r="C4" s="386" t="s">
        <v>343</v>
      </c>
      <c r="D4" s="383"/>
      <c r="E4" s="383"/>
      <c r="F4" s="383"/>
      <c r="G4" s="383"/>
      <c r="H4" s="379"/>
    </row>
    <row r="5" spans="1:8" s="378" customFormat="1" ht="36">
      <c r="A5" s="384">
        <v>38051</v>
      </c>
      <c r="B5" s="385" t="s">
        <v>347</v>
      </c>
      <c r="C5" s="386" t="s">
        <v>343</v>
      </c>
      <c r="D5" s="383"/>
      <c r="E5" s="383"/>
      <c r="F5" s="383"/>
      <c r="G5" s="383"/>
      <c r="H5" s="379"/>
    </row>
    <row r="6" spans="1:8" s="378" customFormat="1" ht="36">
      <c r="A6" s="384">
        <v>38057</v>
      </c>
      <c r="B6" s="385" t="s">
        <v>348</v>
      </c>
      <c r="C6" s="386" t="s">
        <v>343</v>
      </c>
      <c r="D6" s="383"/>
      <c r="E6" s="383"/>
      <c r="F6" s="383"/>
      <c r="G6" s="383"/>
      <c r="H6" s="379"/>
    </row>
    <row r="7" spans="1:8" s="378" customFormat="1">
      <c r="A7" s="384">
        <v>38174</v>
      </c>
      <c r="B7" s="385" t="s">
        <v>344</v>
      </c>
      <c r="C7" s="386" t="s">
        <v>343</v>
      </c>
      <c r="D7" s="383"/>
      <c r="E7" s="383"/>
      <c r="F7" s="383"/>
      <c r="G7" s="383"/>
      <c r="H7" s="379"/>
    </row>
    <row r="8" spans="1:8" s="378" customFormat="1">
      <c r="A8" s="384">
        <v>38240</v>
      </c>
      <c r="B8" s="385" t="s">
        <v>349</v>
      </c>
      <c r="C8" s="386" t="s">
        <v>343</v>
      </c>
      <c r="D8" s="383"/>
      <c r="E8" s="383"/>
      <c r="F8" s="383"/>
      <c r="G8" s="383"/>
      <c r="H8" s="379"/>
    </row>
    <row r="9" spans="1:8" s="378" customFormat="1">
      <c r="A9" s="384">
        <v>38433</v>
      </c>
      <c r="B9" s="385" t="s">
        <v>350</v>
      </c>
      <c r="C9" s="386" t="s">
        <v>343</v>
      </c>
      <c r="D9" s="383"/>
      <c r="E9" s="383"/>
      <c r="F9" s="383"/>
      <c r="G9" s="383"/>
      <c r="H9" s="379"/>
    </row>
    <row r="10" spans="1:8" s="378" customFormat="1" ht="36">
      <c r="A10" s="384">
        <v>38641</v>
      </c>
      <c r="B10" s="385" t="s">
        <v>351</v>
      </c>
      <c r="C10" s="386" t="s">
        <v>343</v>
      </c>
      <c r="D10" s="383"/>
      <c r="E10" s="383"/>
      <c r="F10" s="383"/>
      <c r="G10" s="383"/>
      <c r="H10" s="379"/>
    </row>
    <row r="11" spans="1:8" s="378" customFormat="1">
      <c r="A11" s="384">
        <v>38961</v>
      </c>
      <c r="B11" s="385" t="s">
        <v>352</v>
      </c>
      <c r="C11" s="386" t="s">
        <v>343</v>
      </c>
      <c r="D11" s="383"/>
      <c r="E11" s="383"/>
      <c r="F11" s="383"/>
      <c r="G11" s="383"/>
      <c r="H11" s="379"/>
    </row>
    <row r="12" spans="1:8" s="378" customFormat="1" ht="36">
      <c r="A12" s="384">
        <v>39035</v>
      </c>
      <c r="B12" s="385" t="s">
        <v>353</v>
      </c>
      <c r="C12" s="386" t="s">
        <v>343</v>
      </c>
      <c r="D12" s="383"/>
      <c r="E12" s="383"/>
      <c r="F12" s="383"/>
      <c r="G12" s="383"/>
      <c r="H12" s="379"/>
    </row>
    <row r="13" spans="1:8" s="378" customFormat="1" ht="36">
      <c r="A13" s="384">
        <v>39035</v>
      </c>
      <c r="B13" s="385" t="s">
        <v>354</v>
      </c>
      <c r="C13" s="386" t="s">
        <v>343</v>
      </c>
      <c r="D13" s="383"/>
      <c r="E13" s="383"/>
      <c r="F13" s="383"/>
      <c r="G13" s="383"/>
      <c r="H13" s="379"/>
    </row>
    <row r="14" spans="1:8" s="378" customFormat="1">
      <c r="A14" s="384">
        <v>39035</v>
      </c>
      <c r="B14" s="385" t="s">
        <v>355</v>
      </c>
      <c r="C14" s="386" t="s">
        <v>343</v>
      </c>
      <c r="D14" s="383"/>
      <c r="E14" s="383"/>
      <c r="F14" s="383"/>
      <c r="G14" s="383"/>
      <c r="H14" s="379"/>
    </row>
    <row r="15" spans="1:8" s="378" customFormat="1" ht="36">
      <c r="A15" s="384">
        <v>39157</v>
      </c>
      <c r="B15" s="385" t="s">
        <v>345</v>
      </c>
      <c r="C15" s="386" t="s">
        <v>343</v>
      </c>
      <c r="D15" s="383"/>
      <c r="E15" s="383"/>
      <c r="F15" s="383"/>
      <c r="G15" s="383"/>
      <c r="H15" s="379"/>
    </row>
    <row r="16" spans="1:8" s="378" customFormat="1" ht="36">
      <c r="A16" s="384">
        <v>39171</v>
      </c>
      <c r="B16" s="385" t="s">
        <v>356</v>
      </c>
      <c r="C16" s="386" t="s">
        <v>343</v>
      </c>
      <c r="D16" s="383"/>
      <c r="E16" s="383"/>
      <c r="F16" s="383"/>
      <c r="G16" s="383"/>
      <c r="H16" s="379"/>
    </row>
    <row r="17" spans="1:8" s="378" customFormat="1" ht="36">
      <c r="A17" s="384">
        <v>39177</v>
      </c>
      <c r="B17" s="385" t="s">
        <v>357</v>
      </c>
      <c r="C17" s="386" t="s">
        <v>343</v>
      </c>
      <c r="D17" s="383"/>
      <c r="E17" s="383"/>
      <c r="F17" s="383"/>
      <c r="G17" s="383"/>
      <c r="H17" s="379"/>
    </row>
    <row r="18" spans="1:8" s="378" customFormat="1" ht="36">
      <c r="A18" s="384">
        <v>39349</v>
      </c>
      <c r="B18" s="385" t="s">
        <v>358</v>
      </c>
      <c r="C18" s="386" t="s">
        <v>343</v>
      </c>
      <c r="D18" s="383"/>
      <c r="E18" s="383"/>
      <c r="F18" s="383"/>
      <c r="G18" s="383"/>
      <c r="H18" s="379"/>
    </row>
    <row r="19" spans="1:8" s="378" customFormat="1">
      <c r="A19" s="384">
        <v>39457</v>
      </c>
      <c r="B19" s="385" t="s">
        <v>359</v>
      </c>
      <c r="C19" s="386" t="s">
        <v>343</v>
      </c>
      <c r="D19" s="383"/>
      <c r="E19" s="383"/>
      <c r="F19" s="383"/>
      <c r="G19" s="383"/>
      <c r="H19" s="379"/>
    </row>
    <row r="20" spans="1:8" s="378" customFormat="1">
      <c r="A20" s="384">
        <v>39485</v>
      </c>
      <c r="B20" s="385" t="s">
        <v>360</v>
      </c>
      <c r="C20" s="386" t="s">
        <v>343</v>
      </c>
      <c r="D20" s="383"/>
      <c r="E20" s="383"/>
      <c r="F20" s="383"/>
      <c r="G20" s="383"/>
      <c r="H20" s="379"/>
    </row>
    <row r="21" spans="1:8" s="378" customFormat="1" ht="54">
      <c r="A21" s="384">
        <v>39609</v>
      </c>
      <c r="B21" s="385" t="s">
        <v>361</v>
      </c>
      <c r="C21" s="386" t="s">
        <v>343</v>
      </c>
      <c r="D21" s="383"/>
      <c r="E21" s="383"/>
      <c r="F21" s="383"/>
      <c r="G21" s="383"/>
      <c r="H21" s="379"/>
    </row>
    <row r="22" spans="1:8" s="378" customFormat="1">
      <c r="A22" s="384">
        <v>39834</v>
      </c>
      <c r="B22" s="385" t="s">
        <v>362</v>
      </c>
      <c r="C22" s="386" t="s">
        <v>343</v>
      </c>
      <c r="D22" s="383"/>
      <c r="E22" s="383"/>
      <c r="F22" s="383"/>
      <c r="G22" s="383"/>
      <c r="H22" s="379"/>
    </row>
    <row r="23" spans="1:8" s="378" customFormat="1">
      <c r="A23" s="384">
        <v>39834</v>
      </c>
      <c r="B23" s="385" t="s">
        <v>363</v>
      </c>
      <c r="C23" s="386" t="s">
        <v>343</v>
      </c>
      <c r="D23" s="383"/>
      <c r="E23" s="383"/>
      <c r="F23" s="383"/>
      <c r="G23" s="383"/>
      <c r="H23" s="379"/>
    </row>
    <row r="24" spans="1:8" s="378" customFormat="1">
      <c r="A24" s="384">
        <v>40116</v>
      </c>
      <c r="B24" s="385" t="s">
        <v>375</v>
      </c>
      <c r="C24" s="386" t="s">
        <v>343</v>
      </c>
      <c r="D24" s="383"/>
      <c r="E24" s="383"/>
      <c r="F24" s="383"/>
      <c r="G24" s="383"/>
      <c r="H24" s="379"/>
    </row>
    <row r="25" spans="1:8" s="378" customFormat="1">
      <c r="A25" s="384">
        <v>40116</v>
      </c>
      <c r="B25" s="385" t="s">
        <v>376</v>
      </c>
      <c r="C25" s="386" t="s">
        <v>343</v>
      </c>
      <c r="D25" s="383"/>
      <c r="E25" s="383"/>
      <c r="F25" s="383"/>
      <c r="G25" s="383"/>
      <c r="H25" s="379"/>
    </row>
    <row r="26" spans="1:8" s="378" customFormat="1" ht="72">
      <c r="A26" s="384">
        <v>40116</v>
      </c>
      <c r="B26" s="385" t="s">
        <v>377</v>
      </c>
      <c r="C26" s="386" t="s">
        <v>343</v>
      </c>
      <c r="D26" s="383"/>
      <c r="E26" s="383"/>
      <c r="F26" s="383"/>
      <c r="G26" s="383"/>
      <c r="H26" s="379"/>
    </row>
    <row r="27" spans="1:8" s="378" customFormat="1" ht="36">
      <c r="A27" s="384">
        <v>40263</v>
      </c>
      <c r="B27" s="385" t="s">
        <v>534</v>
      </c>
      <c r="C27" s="386" t="s">
        <v>343</v>
      </c>
      <c r="D27" s="383"/>
      <c r="E27" s="383"/>
      <c r="F27" s="383"/>
      <c r="G27" s="383"/>
      <c r="H27" s="379"/>
    </row>
    <row r="28" spans="1:8" s="378" customFormat="1" ht="36">
      <c r="A28" s="384">
        <v>40263</v>
      </c>
      <c r="B28" s="385" t="s">
        <v>549</v>
      </c>
      <c r="C28" s="386" t="s">
        <v>343</v>
      </c>
      <c r="D28" s="383"/>
      <c r="E28" s="383"/>
      <c r="F28" s="383"/>
      <c r="G28" s="383"/>
      <c r="H28" s="379"/>
    </row>
    <row r="29" spans="1:8" s="378" customFormat="1" ht="72">
      <c r="A29" s="466">
        <v>40263</v>
      </c>
      <c r="B29" s="385" t="s">
        <v>535</v>
      </c>
      <c r="C29" s="468" t="s">
        <v>343</v>
      </c>
      <c r="D29" s="383"/>
      <c r="E29" s="383"/>
      <c r="F29" s="383"/>
      <c r="G29" s="383"/>
      <c r="H29" s="379"/>
    </row>
    <row r="30" spans="1:8" s="378" customFormat="1">
      <c r="A30" s="466"/>
      <c r="B30" s="467"/>
      <c r="C30" s="468"/>
      <c r="D30" s="383"/>
      <c r="E30" s="383"/>
      <c r="F30" s="383"/>
      <c r="G30" s="383"/>
      <c r="H30" s="379"/>
    </row>
    <row r="31" spans="1:8" s="378" customFormat="1">
      <c r="A31" s="383"/>
      <c r="B31" s="383"/>
      <c r="C31" s="383"/>
      <c r="D31" s="383"/>
      <c r="E31" s="383"/>
      <c r="F31" s="383"/>
      <c r="G31" s="383"/>
      <c r="H31" s="379"/>
    </row>
    <row r="32" spans="1:8" s="378" customFormat="1">
      <c r="A32" s="383"/>
      <c r="B32" s="383"/>
      <c r="C32" s="383"/>
      <c r="D32" s="383"/>
      <c r="E32" s="383"/>
      <c r="F32" s="383"/>
      <c r="G32" s="383"/>
      <c r="H32" s="379"/>
    </row>
    <row r="33" spans="1:8" s="378" customFormat="1">
      <c r="A33" s="383"/>
      <c r="B33" s="383"/>
      <c r="C33" s="383"/>
      <c r="D33" s="383"/>
      <c r="E33" s="383"/>
      <c r="F33" s="383"/>
      <c r="G33" s="383"/>
      <c r="H33" s="379"/>
    </row>
    <row r="34" spans="1:8" s="378" customFormat="1">
      <c r="A34" s="383"/>
      <c r="B34" s="383"/>
      <c r="C34" s="383"/>
      <c r="D34" s="383"/>
      <c r="E34" s="383"/>
      <c r="F34" s="383"/>
      <c r="G34" s="383"/>
      <c r="H34" s="379"/>
    </row>
    <row r="35" spans="1:8" s="378" customFormat="1">
      <c r="A35" s="383"/>
      <c r="B35" s="383"/>
      <c r="C35" s="383"/>
      <c r="D35" s="383"/>
      <c r="E35" s="383"/>
      <c r="F35" s="383"/>
      <c r="G35" s="383"/>
      <c r="H35" s="379"/>
    </row>
    <row r="36" spans="1:8" s="378" customFormat="1">
      <c r="A36" s="383"/>
      <c r="B36" s="383"/>
      <c r="C36" s="383"/>
      <c r="D36" s="383"/>
      <c r="E36" s="383"/>
      <c r="F36" s="383"/>
      <c r="G36" s="383"/>
      <c r="H36" s="379"/>
    </row>
    <row r="37" spans="1:8" s="378" customFormat="1">
      <c r="A37" s="383"/>
      <c r="B37" s="383"/>
      <c r="C37" s="383"/>
      <c r="D37" s="383"/>
      <c r="E37" s="383"/>
      <c r="F37" s="383"/>
      <c r="G37" s="383"/>
      <c r="H37" s="379"/>
    </row>
    <row r="38" spans="1:8" s="378" customFormat="1">
      <c r="A38" s="383"/>
      <c r="B38" s="383"/>
      <c r="C38" s="383"/>
      <c r="D38" s="383"/>
      <c r="E38" s="383"/>
      <c r="F38" s="383"/>
      <c r="G38" s="383"/>
      <c r="H38" s="379"/>
    </row>
    <row r="39" spans="1:8" s="378" customFormat="1">
      <c r="A39" s="383"/>
      <c r="B39" s="383"/>
      <c r="C39" s="383"/>
      <c r="D39" s="383"/>
      <c r="E39" s="383"/>
      <c r="F39" s="383"/>
      <c r="G39" s="383"/>
      <c r="H39" s="379"/>
    </row>
    <row r="40" spans="1:8" s="378" customFormat="1">
      <c r="A40" s="383"/>
      <c r="B40" s="383"/>
      <c r="C40" s="383"/>
      <c r="D40" s="383"/>
      <c r="E40" s="383"/>
      <c r="F40" s="383"/>
      <c r="G40" s="383"/>
      <c r="H40" s="379"/>
    </row>
    <row r="41" spans="1:8" s="378" customFormat="1">
      <c r="A41" s="383"/>
      <c r="B41" s="383"/>
      <c r="C41" s="383"/>
      <c r="D41" s="383"/>
      <c r="E41" s="383"/>
      <c r="F41" s="383"/>
      <c r="G41" s="383"/>
      <c r="H41" s="379"/>
    </row>
    <row r="42" spans="1:8" s="378" customFormat="1">
      <c r="A42" s="383"/>
      <c r="B42" s="383"/>
      <c r="C42" s="383"/>
      <c r="D42" s="383"/>
      <c r="E42" s="383"/>
      <c r="F42" s="383"/>
      <c r="G42" s="383"/>
      <c r="H42" s="379"/>
    </row>
    <row r="43" spans="1:8" s="378" customFormat="1">
      <c r="A43" s="383"/>
      <c r="B43" s="383"/>
      <c r="C43" s="383"/>
      <c r="D43" s="383"/>
      <c r="E43" s="383"/>
      <c r="F43" s="383"/>
      <c r="G43" s="383"/>
      <c r="H43" s="379"/>
    </row>
    <row r="44" spans="1:8" s="378" customFormat="1">
      <c r="A44" s="383"/>
      <c r="B44" s="383"/>
      <c r="C44" s="383"/>
      <c r="D44" s="383"/>
      <c r="E44" s="383"/>
      <c r="F44" s="383"/>
      <c r="G44" s="383"/>
      <c r="H44" s="379"/>
    </row>
    <row r="45" spans="1:8" s="378" customFormat="1">
      <c r="A45" s="383"/>
      <c r="B45" s="383"/>
      <c r="C45" s="383"/>
      <c r="D45" s="383"/>
      <c r="E45" s="383"/>
      <c r="F45" s="383"/>
      <c r="G45" s="383"/>
      <c r="H45" s="379"/>
    </row>
    <row r="46" spans="1:8" s="378" customFormat="1">
      <c r="A46" s="383"/>
      <c r="B46" s="383"/>
      <c r="C46" s="383"/>
      <c r="D46" s="383"/>
      <c r="E46" s="383"/>
      <c r="F46" s="383"/>
      <c r="G46" s="383"/>
      <c r="H46" s="379"/>
    </row>
    <row r="47" spans="1:8" s="378" customFormat="1">
      <c r="A47" s="383"/>
      <c r="B47" s="383"/>
      <c r="C47" s="383"/>
      <c r="D47" s="383"/>
      <c r="E47" s="383"/>
      <c r="F47" s="383"/>
      <c r="G47" s="383"/>
      <c r="H47" s="379"/>
    </row>
    <row r="48" spans="1:8" s="378" customFormat="1">
      <c r="A48" s="383"/>
      <c r="B48" s="383"/>
      <c r="C48" s="383"/>
      <c r="D48" s="383"/>
      <c r="E48" s="383"/>
      <c r="F48" s="383"/>
      <c r="G48" s="383"/>
      <c r="H48" s="379"/>
    </row>
    <row r="49" spans="1:8" s="378" customFormat="1">
      <c r="A49" s="383"/>
      <c r="B49" s="383"/>
      <c r="C49" s="383"/>
      <c r="D49" s="383"/>
      <c r="E49" s="383"/>
      <c r="F49" s="383"/>
      <c r="G49" s="383"/>
      <c r="H49" s="379"/>
    </row>
    <row r="50" spans="1:8" s="378" customFormat="1">
      <c r="A50" s="383"/>
      <c r="B50" s="383"/>
      <c r="C50" s="383"/>
      <c r="D50" s="383"/>
      <c r="E50" s="383"/>
      <c r="F50" s="383"/>
      <c r="G50" s="383"/>
      <c r="H50" s="379"/>
    </row>
    <row r="51" spans="1:8" s="378" customFormat="1">
      <c r="A51" s="383"/>
      <c r="B51" s="383"/>
      <c r="C51" s="383"/>
      <c r="D51" s="383"/>
      <c r="E51" s="383"/>
      <c r="F51" s="383"/>
      <c r="G51" s="383"/>
      <c r="H51" s="379"/>
    </row>
    <row r="52" spans="1:8" s="378" customFormat="1">
      <c r="A52" s="383"/>
      <c r="B52" s="383"/>
      <c r="C52" s="383"/>
      <c r="D52" s="383"/>
      <c r="E52" s="383"/>
      <c r="F52" s="383"/>
      <c r="G52" s="383"/>
      <c r="H52" s="379"/>
    </row>
    <row r="53" spans="1:8" s="378" customFormat="1">
      <c r="A53" s="383"/>
      <c r="B53" s="383"/>
      <c r="C53" s="383"/>
      <c r="D53" s="383"/>
      <c r="E53" s="383"/>
      <c r="F53" s="383"/>
      <c r="G53" s="383"/>
      <c r="H53" s="379"/>
    </row>
    <row r="54" spans="1:8" s="378" customFormat="1">
      <c r="A54" s="383"/>
      <c r="B54" s="383"/>
      <c r="C54" s="383"/>
      <c r="D54" s="383"/>
      <c r="E54" s="383"/>
      <c r="F54" s="383"/>
      <c r="G54" s="383"/>
      <c r="H54" s="379"/>
    </row>
    <row r="55" spans="1:8" s="378" customFormat="1">
      <c r="A55" s="383"/>
      <c r="B55" s="383"/>
      <c r="C55" s="383"/>
      <c r="D55" s="383"/>
      <c r="E55" s="383"/>
      <c r="F55" s="383"/>
      <c r="G55" s="383"/>
      <c r="H55" s="379"/>
    </row>
    <row r="56" spans="1:8" s="378" customFormat="1">
      <c r="A56" s="383"/>
      <c r="B56" s="383"/>
      <c r="C56" s="383"/>
      <c r="D56" s="383"/>
      <c r="E56" s="383"/>
      <c r="F56" s="383"/>
      <c r="G56" s="383"/>
      <c r="H56" s="379"/>
    </row>
    <row r="57" spans="1:8" s="378" customFormat="1">
      <c r="A57" s="383"/>
      <c r="B57" s="383"/>
      <c r="C57" s="383"/>
      <c r="D57" s="383"/>
      <c r="E57" s="383"/>
      <c r="F57" s="383"/>
      <c r="G57" s="383"/>
      <c r="H57" s="379"/>
    </row>
    <row r="58" spans="1:8" s="378" customFormat="1">
      <c r="A58" s="383"/>
      <c r="B58" s="383"/>
      <c r="C58" s="383"/>
      <c r="D58" s="383"/>
      <c r="E58" s="383"/>
      <c r="F58" s="383"/>
      <c r="G58" s="383"/>
      <c r="H58" s="379"/>
    </row>
    <row r="59" spans="1:8" s="378" customFormat="1">
      <c r="A59" s="383"/>
      <c r="B59" s="383"/>
      <c r="C59" s="383"/>
      <c r="D59" s="383"/>
      <c r="E59" s="383"/>
      <c r="F59" s="383"/>
      <c r="G59" s="383"/>
      <c r="H59" s="379"/>
    </row>
    <row r="60" spans="1:8" s="378" customFormat="1">
      <c r="A60" s="383"/>
      <c r="B60" s="383"/>
      <c r="C60" s="383"/>
      <c r="D60" s="383"/>
      <c r="E60" s="383"/>
      <c r="F60" s="383"/>
      <c r="G60" s="383"/>
      <c r="H60" s="379"/>
    </row>
    <row r="61" spans="1:8" s="378" customFormat="1">
      <c r="A61" s="383"/>
      <c r="B61" s="383"/>
      <c r="C61" s="383"/>
      <c r="D61" s="383"/>
      <c r="E61" s="383"/>
      <c r="F61" s="383"/>
      <c r="G61" s="383"/>
      <c r="H61" s="379"/>
    </row>
    <row r="62" spans="1:8" s="378" customFormat="1">
      <c r="A62" s="383"/>
      <c r="B62" s="383"/>
      <c r="C62" s="383"/>
      <c r="D62" s="383"/>
      <c r="E62" s="383"/>
      <c r="F62" s="383"/>
      <c r="G62" s="383"/>
      <c r="H62" s="379"/>
    </row>
    <row r="63" spans="1:8" s="378" customFormat="1">
      <c r="A63" s="383"/>
      <c r="B63" s="383"/>
      <c r="C63" s="383"/>
      <c r="D63" s="383"/>
      <c r="E63" s="383"/>
      <c r="F63" s="383"/>
      <c r="G63" s="383"/>
      <c r="H63" s="379"/>
    </row>
    <row r="64" spans="1:8" s="378" customFormat="1">
      <c r="A64" s="383"/>
      <c r="B64" s="383"/>
      <c r="C64" s="383"/>
      <c r="D64" s="383"/>
      <c r="E64" s="383"/>
      <c r="F64" s="383"/>
      <c r="G64" s="383"/>
      <c r="H64" s="379"/>
    </row>
    <row r="65" spans="1:8" s="378" customFormat="1">
      <c r="A65" s="383"/>
      <c r="B65" s="383"/>
      <c r="C65" s="383"/>
      <c r="D65" s="383"/>
      <c r="E65" s="383"/>
      <c r="F65" s="383"/>
      <c r="G65" s="383"/>
      <c r="H65" s="379"/>
    </row>
    <row r="66" spans="1:8" s="378" customFormat="1">
      <c r="A66" s="383"/>
      <c r="B66" s="383"/>
      <c r="C66" s="383"/>
      <c r="D66" s="383"/>
      <c r="E66" s="383"/>
      <c r="F66" s="383"/>
      <c r="G66" s="383"/>
      <c r="H66" s="379"/>
    </row>
    <row r="67" spans="1:8" s="378" customFormat="1">
      <c r="A67" s="383"/>
      <c r="B67" s="383"/>
      <c r="C67" s="383"/>
      <c r="D67" s="383"/>
      <c r="E67" s="383"/>
      <c r="F67" s="383"/>
      <c r="G67" s="383"/>
      <c r="H67" s="379"/>
    </row>
    <row r="68" spans="1:8" s="378" customFormat="1">
      <c r="A68" s="383"/>
      <c r="B68" s="383"/>
      <c r="C68" s="383"/>
      <c r="D68" s="383"/>
      <c r="E68" s="383"/>
      <c r="F68" s="383"/>
      <c r="G68" s="383"/>
      <c r="H68" s="379"/>
    </row>
    <row r="69" spans="1:8" s="378" customFormat="1">
      <c r="A69" s="383"/>
      <c r="B69" s="383"/>
      <c r="C69" s="383"/>
      <c r="D69" s="383"/>
      <c r="E69" s="383"/>
      <c r="F69" s="383"/>
      <c r="G69" s="383"/>
      <c r="H69" s="379"/>
    </row>
    <row r="70" spans="1:8" s="378" customFormat="1">
      <c r="A70" s="383"/>
      <c r="B70" s="383"/>
      <c r="C70" s="383"/>
      <c r="D70" s="383"/>
      <c r="E70" s="383"/>
      <c r="F70" s="383"/>
      <c r="G70" s="383"/>
      <c r="H70" s="379"/>
    </row>
    <row r="71" spans="1:8" s="378" customFormat="1">
      <c r="A71" s="383"/>
      <c r="B71" s="383"/>
      <c r="C71" s="383"/>
      <c r="D71" s="383"/>
      <c r="E71" s="383"/>
      <c r="F71" s="383"/>
      <c r="G71" s="383"/>
      <c r="H71" s="379"/>
    </row>
    <row r="72" spans="1:8" s="378" customFormat="1">
      <c r="A72" s="383"/>
      <c r="B72" s="383"/>
      <c r="C72" s="383"/>
      <c r="D72" s="383"/>
      <c r="E72" s="383"/>
      <c r="F72" s="383"/>
      <c r="G72" s="383"/>
      <c r="H72" s="379"/>
    </row>
    <row r="73" spans="1:8" s="378" customFormat="1">
      <c r="A73" s="383"/>
      <c r="B73" s="383"/>
      <c r="C73" s="383"/>
      <c r="D73" s="383"/>
      <c r="E73" s="383"/>
      <c r="F73" s="383"/>
      <c r="G73" s="383"/>
      <c r="H73" s="379"/>
    </row>
    <row r="74" spans="1:8" s="378" customFormat="1">
      <c r="A74" s="383"/>
      <c r="B74" s="383"/>
      <c r="C74" s="383"/>
      <c r="D74" s="383"/>
      <c r="E74" s="383"/>
      <c r="F74" s="383"/>
      <c r="G74" s="383"/>
      <c r="H74" s="379"/>
    </row>
    <row r="75" spans="1:8" s="378" customFormat="1">
      <c r="A75" s="383"/>
      <c r="B75" s="383"/>
      <c r="C75" s="383"/>
      <c r="D75" s="383"/>
      <c r="E75" s="383"/>
      <c r="F75" s="383"/>
      <c r="G75" s="383"/>
      <c r="H75" s="379"/>
    </row>
    <row r="76" spans="1:8" s="378" customFormat="1">
      <c r="A76" s="383"/>
      <c r="B76" s="383"/>
      <c r="C76" s="383"/>
      <c r="D76" s="383"/>
      <c r="E76" s="383"/>
      <c r="F76" s="383"/>
      <c r="G76" s="383"/>
      <c r="H76" s="379"/>
    </row>
    <row r="77" spans="1:8" s="378" customFormat="1">
      <c r="A77" s="383"/>
      <c r="B77" s="383"/>
      <c r="C77" s="383"/>
      <c r="D77" s="383"/>
      <c r="E77" s="383"/>
      <c r="F77" s="383"/>
      <c r="G77" s="383"/>
      <c r="H77" s="379"/>
    </row>
    <row r="78" spans="1:8" s="378" customFormat="1">
      <c r="A78" s="383"/>
      <c r="B78" s="383"/>
      <c r="C78" s="383"/>
      <c r="D78" s="383"/>
      <c r="E78" s="383"/>
      <c r="F78" s="383"/>
      <c r="G78" s="383"/>
      <c r="H78" s="379"/>
    </row>
    <row r="79" spans="1:8" s="378" customFormat="1">
      <c r="A79" s="383"/>
      <c r="B79" s="383"/>
      <c r="C79" s="383"/>
      <c r="D79" s="383"/>
      <c r="E79" s="383"/>
      <c r="F79" s="383"/>
      <c r="G79" s="383"/>
      <c r="H79" s="379"/>
    </row>
    <row r="80" spans="1:8" s="378" customFormat="1">
      <c r="A80" s="383"/>
      <c r="B80" s="383"/>
      <c r="C80" s="383"/>
      <c r="D80" s="383"/>
      <c r="E80" s="383"/>
      <c r="F80" s="383"/>
      <c r="G80" s="383"/>
      <c r="H80" s="379"/>
    </row>
    <row r="81" spans="1:8" s="378" customFormat="1">
      <c r="A81" s="383"/>
      <c r="B81" s="383"/>
      <c r="C81" s="383"/>
      <c r="D81" s="383"/>
      <c r="E81" s="383"/>
      <c r="F81" s="383"/>
      <c r="G81" s="383"/>
      <c r="H81" s="379"/>
    </row>
    <row r="82" spans="1:8" s="378" customFormat="1">
      <c r="A82" s="383"/>
      <c r="B82" s="383"/>
      <c r="C82" s="383"/>
      <c r="D82" s="383"/>
      <c r="E82" s="383"/>
      <c r="F82" s="383"/>
      <c r="G82" s="383"/>
      <c r="H82" s="379"/>
    </row>
    <row r="83" spans="1:8" s="378" customFormat="1">
      <c r="A83" s="383"/>
      <c r="B83" s="383"/>
      <c r="C83" s="383"/>
      <c r="D83" s="383"/>
      <c r="E83" s="383"/>
      <c r="F83" s="383"/>
      <c r="G83" s="383"/>
      <c r="H83" s="379"/>
    </row>
    <row r="84" spans="1:8" s="378" customFormat="1">
      <c r="A84" s="383"/>
      <c r="B84" s="383"/>
      <c r="C84" s="383"/>
      <c r="D84" s="383"/>
      <c r="E84" s="383"/>
      <c r="F84" s="383"/>
      <c r="G84" s="383"/>
      <c r="H84" s="379"/>
    </row>
    <row r="85" spans="1:8" s="378" customFormat="1">
      <c r="A85" s="383"/>
      <c r="B85" s="383"/>
      <c r="C85" s="383"/>
      <c r="D85" s="383"/>
      <c r="E85" s="383"/>
      <c r="F85" s="383"/>
      <c r="G85" s="383"/>
      <c r="H85" s="379"/>
    </row>
    <row r="86" spans="1:8" s="378" customFormat="1">
      <c r="A86" s="383"/>
      <c r="B86" s="383"/>
      <c r="C86" s="383"/>
      <c r="D86" s="383"/>
      <c r="E86" s="383"/>
      <c r="F86" s="383"/>
      <c r="G86" s="383"/>
      <c r="H86" s="379"/>
    </row>
    <row r="87" spans="1:8" s="378" customFormat="1">
      <c r="A87" s="383"/>
      <c r="B87" s="383"/>
      <c r="C87" s="383"/>
      <c r="D87" s="383"/>
      <c r="E87" s="383"/>
      <c r="F87" s="383"/>
      <c r="G87" s="383"/>
      <c r="H87" s="379"/>
    </row>
    <row r="88" spans="1:8" s="378" customFormat="1">
      <c r="A88" s="383"/>
      <c r="B88" s="383"/>
      <c r="C88" s="383"/>
      <c r="D88" s="383"/>
      <c r="E88" s="383"/>
      <c r="F88" s="383"/>
      <c r="G88" s="383"/>
      <c r="H88" s="379"/>
    </row>
    <row r="89" spans="1:8" s="378" customFormat="1">
      <c r="A89" s="383"/>
      <c r="B89" s="383"/>
      <c r="C89" s="383"/>
      <c r="D89" s="383"/>
      <c r="E89" s="383"/>
      <c r="F89" s="383"/>
      <c r="G89" s="383"/>
      <c r="H89" s="379"/>
    </row>
    <row r="90" spans="1:8" s="378" customFormat="1">
      <c r="A90" s="383"/>
      <c r="B90" s="383"/>
      <c r="C90" s="383"/>
      <c r="D90" s="383"/>
      <c r="E90" s="383"/>
      <c r="F90" s="383"/>
      <c r="G90" s="383"/>
      <c r="H90" s="379"/>
    </row>
    <row r="91" spans="1:8" s="378" customFormat="1">
      <c r="A91" s="383"/>
      <c r="B91" s="383"/>
      <c r="C91" s="383"/>
      <c r="D91" s="383"/>
      <c r="E91" s="383"/>
      <c r="F91" s="383"/>
      <c r="G91" s="383"/>
      <c r="H91" s="379"/>
    </row>
    <row r="92" spans="1:8" s="378" customFormat="1">
      <c r="A92" s="383"/>
      <c r="B92" s="383"/>
      <c r="C92" s="383"/>
      <c r="D92" s="383"/>
      <c r="E92" s="383"/>
      <c r="F92" s="383"/>
      <c r="G92" s="383"/>
      <c r="H92" s="379"/>
    </row>
    <row r="93" spans="1:8" s="378" customFormat="1">
      <c r="A93" s="383"/>
      <c r="B93" s="383"/>
      <c r="C93" s="383"/>
      <c r="D93" s="383"/>
      <c r="E93" s="383"/>
      <c r="F93" s="383"/>
      <c r="G93" s="383"/>
      <c r="H93" s="379"/>
    </row>
    <row r="94" spans="1:8" s="378" customFormat="1">
      <c r="A94" s="383"/>
      <c r="B94" s="383"/>
      <c r="C94" s="383"/>
      <c r="D94" s="383"/>
      <c r="E94" s="383"/>
      <c r="F94" s="383"/>
      <c r="G94" s="383"/>
      <c r="H94" s="379"/>
    </row>
    <row r="95" spans="1:8" s="378" customFormat="1">
      <c r="A95" s="383"/>
      <c r="B95" s="383"/>
      <c r="C95" s="383"/>
      <c r="D95" s="383"/>
      <c r="E95" s="383"/>
      <c r="F95" s="383"/>
      <c r="G95" s="383"/>
      <c r="H95" s="379"/>
    </row>
    <row r="96" spans="1:8" s="378" customFormat="1">
      <c r="A96" s="383"/>
      <c r="B96" s="383"/>
      <c r="C96" s="383"/>
      <c r="D96" s="383"/>
      <c r="E96" s="383"/>
      <c r="F96" s="383"/>
      <c r="G96" s="383"/>
      <c r="H96" s="379"/>
    </row>
    <row r="97" spans="1:8" s="378" customFormat="1">
      <c r="A97" s="383"/>
      <c r="B97" s="383"/>
      <c r="C97" s="383"/>
      <c r="D97" s="383"/>
      <c r="E97" s="383"/>
      <c r="F97" s="383"/>
      <c r="G97" s="383"/>
      <c r="H97" s="379"/>
    </row>
    <row r="98" spans="1:8" s="378" customFormat="1">
      <c r="A98" s="383"/>
      <c r="B98" s="383"/>
      <c r="C98" s="383"/>
      <c r="D98" s="383"/>
      <c r="E98" s="383"/>
      <c r="F98" s="383"/>
      <c r="G98" s="383"/>
      <c r="H98" s="379"/>
    </row>
    <row r="99" spans="1:8" s="378" customFormat="1">
      <c r="A99" s="383"/>
      <c r="B99" s="383"/>
      <c r="C99" s="383"/>
      <c r="D99" s="383"/>
      <c r="E99" s="383"/>
      <c r="F99" s="383"/>
      <c r="G99" s="383"/>
      <c r="H99" s="379"/>
    </row>
    <row r="100" spans="1:8" s="378" customFormat="1">
      <c r="A100" s="383"/>
      <c r="B100" s="383"/>
      <c r="C100" s="383"/>
      <c r="D100" s="383"/>
      <c r="E100" s="383"/>
      <c r="F100" s="383"/>
      <c r="G100" s="383"/>
      <c r="H100" s="379"/>
    </row>
    <row r="101" spans="1:8" s="378" customFormat="1">
      <c r="A101" s="383"/>
      <c r="B101" s="383"/>
      <c r="C101" s="383"/>
      <c r="D101" s="383"/>
      <c r="E101" s="383"/>
      <c r="F101" s="383"/>
      <c r="G101" s="383"/>
      <c r="H101" s="379"/>
    </row>
    <row r="102" spans="1:8" s="378" customFormat="1">
      <c r="A102" s="383"/>
      <c r="B102" s="383"/>
      <c r="C102" s="383"/>
      <c r="D102" s="383"/>
      <c r="E102" s="383"/>
      <c r="F102" s="383"/>
      <c r="G102" s="383"/>
      <c r="H102" s="379"/>
    </row>
    <row r="103" spans="1:8" s="378" customFormat="1">
      <c r="A103" s="383"/>
      <c r="B103" s="383"/>
      <c r="C103" s="383"/>
      <c r="D103" s="383"/>
      <c r="E103" s="383"/>
      <c r="F103" s="383"/>
      <c r="G103" s="383"/>
      <c r="H103" s="379"/>
    </row>
    <row r="104" spans="1:8" s="378" customFormat="1">
      <c r="A104" s="383"/>
      <c r="B104" s="383"/>
      <c r="C104" s="383"/>
      <c r="D104" s="383"/>
      <c r="E104" s="383"/>
      <c r="F104" s="383"/>
      <c r="G104" s="383"/>
      <c r="H104" s="379"/>
    </row>
    <row r="105" spans="1:8" s="378" customFormat="1">
      <c r="A105" s="383"/>
      <c r="B105" s="383"/>
      <c r="C105" s="383"/>
      <c r="D105" s="383"/>
      <c r="E105" s="383"/>
      <c r="F105" s="383"/>
      <c r="G105" s="383"/>
      <c r="H105" s="379"/>
    </row>
    <row r="106" spans="1:8" s="378" customFormat="1">
      <c r="A106" s="383"/>
      <c r="B106" s="383"/>
      <c r="C106" s="383"/>
      <c r="D106" s="383"/>
      <c r="E106" s="383"/>
      <c r="F106" s="383"/>
      <c r="G106" s="383"/>
      <c r="H106" s="379"/>
    </row>
    <row r="107" spans="1:8" s="378" customFormat="1">
      <c r="A107" s="383"/>
      <c r="B107" s="383"/>
      <c r="C107" s="383"/>
      <c r="D107" s="383"/>
      <c r="E107" s="383"/>
      <c r="F107" s="383"/>
      <c r="G107" s="383"/>
      <c r="H107" s="379"/>
    </row>
    <row r="108" spans="1:8" s="378" customFormat="1">
      <c r="A108" s="383"/>
      <c r="B108" s="383"/>
      <c r="C108" s="383"/>
      <c r="D108" s="383"/>
      <c r="E108" s="383"/>
      <c r="F108" s="383"/>
      <c r="G108" s="383"/>
      <c r="H108" s="379"/>
    </row>
    <row r="109" spans="1:8" s="378" customFormat="1">
      <c r="A109" s="383"/>
      <c r="B109" s="383"/>
      <c r="C109" s="383"/>
      <c r="D109" s="383"/>
      <c r="E109" s="383"/>
      <c r="F109" s="383"/>
      <c r="G109" s="383"/>
      <c r="H109" s="379"/>
    </row>
    <row r="110" spans="1:8" s="378" customFormat="1">
      <c r="A110" s="383"/>
      <c r="B110" s="383"/>
      <c r="C110" s="383"/>
      <c r="D110" s="383"/>
      <c r="E110" s="383"/>
      <c r="F110" s="383"/>
      <c r="G110" s="383"/>
      <c r="H110" s="379"/>
    </row>
    <row r="111" spans="1:8" s="378" customFormat="1">
      <c r="A111" s="383"/>
      <c r="B111" s="383"/>
      <c r="C111" s="383"/>
      <c r="D111" s="383"/>
      <c r="E111" s="383"/>
      <c r="F111" s="383"/>
      <c r="G111" s="383"/>
      <c r="H111" s="379"/>
    </row>
    <row r="112" spans="1:8" s="378" customFormat="1">
      <c r="A112" s="383"/>
      <c r="B112" s="383"/>
      <c r="C112" s="383"/>
      <c r="D112" s="383"/>
      <c r="E112" s="383"/>
      <c r="F112" s="383"/>
      <c r="G112" s="383"/>
      <c r="H112" s="379"/>
    </row>
    <row r="113" spans="1:8" s="378" customFormat="1">
      <c r="A113" s="383"/>
      <c r="B113" s="383"/>
      <c r="C113" s="383"/>
      <c r="D113" s="383"/>
      <c r="E113" s="383"/>
      <c r="F113" s="383"/>
      <c r="G113" s="383"/>
      <c r="H113" s="379"/>
    </row>
    <row r="114" spans="1:8" s="378" customFormat="1">
      <c r="A114" s="383"/>
      <c r="B114" s="383"/>
      <c r="C114" s="383"/>
      <c r="D114" s="383"/>
      <c r="E114" s="383"/>
      <c r="F114" s="383"/>
      <c r="G114" s="383"/>
      <c r="H114" s="379"/>
    </row>
    <row r="115" spans="1:8" s="378" customFormat="1">
      <c r="A115" s="383"/>
      <c r="B115" s="383"/>
      <c r="C115" s="383"/>
      <c r="D115" s="383"/>
      <c r="E115" s="383"/>
      <c r="F115" s="383"/>
      <c r="G115" s="383"/>
      <c r="H115" s="379"/>
    </row>
    <row r="116" spans="1:8" s="378" customFormat="1">
      <c r="A116" s="383"/>
      <c r="B116" s="383"/>
      <c r="C116" s="383"/>
      <c r="D116" s="383"/>
      <c r="E116" s="383"/>
      <c r="F116" s="383"/>
      <c r="G116" s="383"/>
      <c r="H116" s="379"/>
    </row>
    <row r="117" spans="1:8" s="378" customFormat="1">
      <c r="A117" s="383"/>
      <c r="B117" s="383"/>
      <c r="C117" s="383"/>
      <c r="D117" s="383"/>
      <c r="E117" s="383"/>
      <c r="F117" s="383"/>
      <c r="G117" s="383"/>
      <c r="H117" s="379"/>
    </row>
    <row r="118" spans="1:8" s="378" customFormat="1">
      <c r="A118" s="383"/>
      <c r="B118" s="383"/>
      <c r="C118" s="383"/>
      <c r="D118" s="383"/>
      <c r="E118" s="383"/>
      <c r="F118" s="383"/>
      <c r="G118" s="383"/>
      <c r="H118" s="379"/>
    </row>
    <row r="119" spans="1:8" s="378" customFormat="1">
      <c r="A119" s="383"/>
      <c r="B119" s="383"/>
      <c r="C119" s="383"/>
      <c r="D119" s="383"/>
      <c r="E119" s="383"/>
      <c r="F119" s="383"/>
      <c r="G119" s="383"/>
      <c r="H119" s="379"/>
    </row>
    <row r="120" spans="1:8" s="378" customFormat="1">
      <c r="A120" s="383"/>
      <c r="B120" s="383"/>
      <c r="C120" s="383"/>
      <c r="D120" s="383"/>
      <c r="E120" s="383"/>
      <c r="F120" s="383"/>
      <c r="G120" s="383"/>
      <c r="H120" s="379"/>
    </row>
    <row r="121" spans="1:8" s="378" customFormat="1">
      <c r="A121" s="383"/>
      <c r="B121" s="383"/>
      <c r="C121" s="383"/>
      <c r="D121" s="383"/>
      <c r="E121" s="383"/>
      <c r="F121" s="383"/>
      <c r="G121" s="383"/>
      <c r="H121" s="379"/>
    </row>
    <row r="122" spans="1:8" s="378" customFormat="1">
      <c r="A122" s="383"/>
      <c r="B122" s="383"/>
      <c r="C122" s="383"/>
      <c r="D122" s="383"/>
      <c r="E122" s="383"/>
      <c r="F122" s="383"/>
      <c r="G122" s="383"/>
      <c r="H122" s="379"/>
    </row>
    <row r="123" spans="1:8" s="378" customFormat="1">
      <c r="A123" s="383"/>
      <c r="B123" s="383"/>
      <c r="C123" s="383"/>
      <c r="D123" s="383"/>
      <c r="E123" s="383"/>
      <c r="F123" s="383"/>
      <c r="G123" s="383"/>
      <c r="H123" s="379"/>
    </row>
    <row r="124" spans="1:8" s="378" customFormat="1">
      <c r="A124" s="383"/>
      <c r="B124" s="383"/>
      <c r="C124" s="383"/>
      <c r="D124" s="383"/>
      <c r="E124" s="383"/>
      <c r="F124" s="383"/>
      <c r="G124" s="383"/>
      <c r="H124" s="379"/>
    </row>
    <row r="125" spans="1:8" s="378" customFormat="1">
      <c r="A125" s="383"/>
      <c r="B125" s="383"/>
      <c r="C125" s="383"/>
      <c r="D125" s="383"/>
      <c r="E125" s="383"/>
      <c r="F125" s="383"/>
      <c r="G125" s="383"/>
      <c r="H125" s="379"/>
    </row>
    <row r="126" spans="1:8" s="378" customFormat="1">
      <c r="A126" s="383"/>
      <c r="B126" s="383"/>
      <c r="C126" s="383"/>
      <c r="D126" s="383"/>
      <c r="E126" s="383"/>
      <c r="F126" s="383"/>
      <c r="G126" s="383"/>
      <c r="H126" s="379"/>
    </row>
    <row r="127" spans="1:8" s="378" customFormat="1">
      <c r="A127" s="383"/>
      <c r="B127" s="383"/>
      <c r="C127" s="383"/>
      <c r="D127" s="383"/>
      <c r="E127" s="383"/>
      <c r="F127" s="383"/>
      <c r="G127" s="383"/>
      <c r="H127" s="379"/>
    </row>
    <row r="128" spans="1:8" s="378" customFormat="1">
      <c r="A128" s="383"/>
      <c r="B128" s="383"/>
      <c r="C128" s="383"/>
      <c r="D128" s="383"/>
      <c r="E128" s="383"/>
      <c r="F128" s="383"/>
      <c r="G128" s="383"/>
      <c r="H128" s="379"/>
    </row>
    <row r="129" spans="1:8" s="378" customFormat="1">
      <c r="A129" s="383"/>
      <c r="B129" s="383"/>
      <c r="C129" s="383"/>
      <c r="D129" s="383"/>
      <c r="E129" s="383"/>
      <c r="F129" s="383"/>
      <c r="G129" s="383"/>
      <c r="H129" s="379"/>
    </row>
    <row r="130" spans="1:8" s="378" customFormat="1">
      <c r="A130" s="383"/>
      <c r="B130" s="383"/>
      <c r="C130" s="383"/>
      <c r="D130" s="383"/>
      <c r="E130" s="383"/>
      <c r="F130" s="383"/>
      <c r="G130" s="383"/>
      <c r="H130" s="379"/>
    </row>
    <row r="131" spans="1:8" s="378" customFormat="1">
      <c r="A131" s="383"/>
      <c r="B131" s="383"/>
      <c r="C131" s="383"/>
      <c r="D131" s="383"/>
      <c r="E131" s="383"/>
      <c r="F131" s="383"/>
      <c r="G131" s="383"/>
      <c r="H131" s="379"/>
    </row>
    <row r="132" spans="1:8" s="378" customFormat="1">
      <c r="A132" s="383"/>
      <c r="B132" s="383"/>
      <c r="C132" s="383"/>
      <c r="D132" s="383"/>
      <c r="E132" s="383"/>
      <c r="F132" s="383"/>
      <c r="G132" s="383"/>
      <c r="H132" s="379"/>
    </row>
    <row r="133" spans="1:8" s="378" customFormat="1">
      <c r="A133" s="383"/>
      <c r="B133" s="383"/>
      <c r="C133" s="383"/>
      <c r="D133" s="383"/>
      <c r="E133" s="383"/>
      <c r="F133" s="383"/>
      <c r="G133" s="383"/>
      <c r="H133" s="379"/>
    </row>
    <row r="134" spans="1:8" s="378" customFormat="1">
      <c r="A134" s="383"/>
      <c r="B134" s="383"/>
      <c r="C134" s="383"/>
      <c r="D134" s="383"/>
      <c r="E134" s="383"/>
      <c r="F134" s="383"/>
      <c r="G134" s="383"/>
      <c r="H134" s="379"/>
    </row>
    <row r="135" spans="1:8" s="378" customFormat="1">
      <c r="A135" s="383"/>
      <c r="B135" s="383"/>
      <c r="C135" s="383"/>
      <c r="D135" s="383"/>
      <c r="E135" s="383"/>
      <c r="F135" s="383"/>
      <c r="G135" s="383"/>
      <c r="H135" s="379"/>
    </row>
    <row r="136" spans="1:8" s="378" customFormat="1">
      <c r="A136" s="383"/>
      <c r="B136" s="383"/>
      <c r="C136" s="383"/>
      <c r="D136" s="383"/>
      <c r="E136" s="383"/>
      <c r="F136" s="383"/>
      <c r="G136" s="383"/>
      <c r="H136" s="379"/>
    </row>
    <row r="137" spans="1:8" s="378" customFormat="1">
      <c r="A137" s="383"/>
      <c r="B137" s="383"/>
      <c r="C137" s="383"/>
      <c r="D137" s="383"/>
      <c r="E137" s="383"/>
      <c r="F137" s="383"/>
      <c r="G137" s="383"/>
      <c r="H137" s="379"/>
    </row>
    <row r="138" spans="1:8" s="378" customFormat="1">
      <c r="A138" s="383"/>
      <c r="B138" s="383"/>
      <c r="C138" s="383"/>
      <c r="D138" s="383"/>
      <c r="E138" s="383"/>
      <c r="F138" s="383"/>
      <c r="G138" s="383"/>
      <c r="H138" s="379"/>
    </row>
    <row r="139" spans="1:8" s="378" customFormat="1">
      <c r="A139" s="383"/>
      <c r="B139" s="383"/>
      <c r="C139" s="383"/>
      <c r="D139" s="383"/>
      <c r="E139" s="383"/>
      <c r="F139" s="383"/>
      <c r="G139" s="383"/>
      <c r="H139" s="379"/>
    </row>
    <row r="140" spans="1:8" s="378" customFormat="1">
      <c r="A140" s="383"/>
      <c r="B140" s="383"/>
      <c r="C140" s="383"/>
      <c r="D140" s="383"/>
      <c r="E140" s="383"/>
      <c r="F140" s="383"/>
      <c r="G140" s="383"/>
      <c r="H140" s="379"/>
    </row>
    <row r="141" spans="1:8" s="378" customFormat="1">
      <c r="A141" s="383"/>
      <c r="B141" s="383"/>
      <c r="C141" s="383"/>
      <c r="D141" s="383"/>
      <c r="E141" s="383"/>
      <c r="F141" s="383"/>
      <c r="G141" s="383"/>
      <c r="H141" s="379"/>
    </row>
    <row r="142" spans="1:8" s="378" customFormat="1">
      <c r="A142" s="383"/>
      <c r="B142" s="383"/>
      <c r="C142" s="383"/>
      <c r="D142" s="383"/>
      <c r="E142" s="383"/>
      <c r="F142" s="383"/>
      <c r="G142" s="383"/>
      <c r="H142" s="379"/>
    </row>
    <row r="143" spans="1:8" s="378" customFormat="1">
      <c r="A143" s="383"/>
      <c r="B143" s="383"/>
      <c r="C143" s="383"/>
      <c r="D143" s="383"/>
      <c r="E143" s="383"/>
      <c r="F143" s="383"/>
      <c r="G143" s="383"/>
      <c r="H143" s="379"/>
    </row>
    <row r="144" spans="1:8" s="378" customFormat="1">
      <c r="A144" s="383"/>
      <c r="B144" s="383"/>
      <c r="C144" s="383"/>
      <c r="D144" s="383"/>
      <c r="E144" s="383"/>
      <c r="F144" s="383"/>
      <c r="G144" s="383"/>
      <c r="H144" s="379"/>
    </row>
    <row r="145" spans="1:8" s="378" customFormat="1">
      <c r="A145" s="383"/>
      <c r="B145" s="383"/>
      <c r="C145" s="383"/>
      <c r="D145" s="383"/>
      <c r="E145" s="383"/>
      <c r="F145" s="383"/>
      <c r="G145" s="383"/>
      <c r="H145" s="379"/>
    </row>
    <row r="146" spans="1:8" s="378" customFormat="1">
      <c r="A146" s="383"/>
      <c r="B146" s="383"/>
      <c r="C146" s="383"/>
      <c r="D146" s="383"/>
      <c r="E146" s="383"/>
      <c r="F146" s="383"/>
      <c r="G146" s="383"/>
      <c r="H146" s="379"/>
    </row>
    <row r="147" spans="1:8" s="378" customFormat="1">
      <c r="A147" s="383"/>
      <c r="B147" s="383"/>
      <c r="C147" s="383"/>
      <c r="D147" s="383"/>
      <c r="E147" s="383"/>
      <c r="F147" s="383"/>
      <c r="G147" s="383"/>
      <c r="H147" s="379"/>
    </row>
    <row r="148" spans="1:8" s="378" customFormat="1">
      <c r="A148" s="383"/>
      <c r="B148" s="383"/>
      <c r="C148" s="383"/>
      <c r="D148" s="383"/>
      <c r="E148" s="383"/>
      <c r="F148" s="383"/>
      <c r="G148" s="383"/>
      <c r="H148" s="379"/>
    </row>
    <row r="149" spans="1:8" s="378" customFormat="1">
      <c r="A149" s="383"/>
      <c r="B149" s="383"/>
      <c r="C149" s="383"/>
      <c r="D149" s="383"/>
      <c r="E149" s="383"/>
      <c r="F149" s="383"/>
      <c r="G149" s="383"/>
      <c r="H149" s="379"/>
    </row>
    <row r="150" spans="1:8" s="378" customFormat="1">
      <c r="A150" s="383"/>
      <c r="B150" s="383"/>
      <c r="C150" s="383"/>
      <c r="D150" s="383"/>
      <c r="E150" s="383"/>
      <c r="F150" s="383"/>
      <c r="G150" s="383"/>
      <c r="H150" s="379"/>
    </row>
    <row r="151" spans="1:8" s="378" customFormat="1">
      <c r="A151" s="383"/>
      <c r="B151" s="383"/>
      <c r="C151" s="383"/>
      <c r="D151" s="383"/>
      <c r="E151" s="383"/>
      <c r="F151" s="383"/>
      <c r="G151" s="383"/>
      <c r="H151" s="379"/>
    </row>
    <row r="152" spans="1:8" s="378" customFormat="1">
      <c r="A152" s="383"/>
      <c r="B152" s="383"/>
      <c r="C152" s="383"/>
      <c r="D152" s="383"/>
      <c r="E152" s="383"/>
      <c r="F152" s="383"/>
      <c r="G152" s="383"/>
      <c r="H152" s="379"/>
    </row>
    <row r="153" spans="1:8" s="378" customFormat="1">
      <c r="A153" s="383"/>
      <c r="B153" s="383"/>
      <c r="C153" s="383"/>
      <c r="D153" s="383"/>
      <c r="E153" s="383"/>
      <c r="F153" s="383"/>
      <c r="G153" s="383"/>
      <c r="H153" s="379"/>
    </row>
    <row r="154" spans="1:8" s="378" customFormat="1">
      <c r="A154" s="383"/>
      <c r="B154" s="383"/>
      <c r="C154" s="383"/>
      <c r="D154" s="383"/>
      <c r="E154" s="383"/>
      <c r="F154" s="383"/>
      <c r="G154" s="383"/>
      <c r="H154" s="379"/>
    </row>
    <row r="155" spans="1:8" s="378" customFormat="1">
      <c r="A155" s="383"/>
      <c r="B155" s="383"/>
      <c r="C155" s="383"/>
      <c r="D155" s="383"/>
      <c r="E155" s="383"/>
      <c r="F155" s="383"/>
      <c r="G155" s="383"/>
      <c r="H155" s="379"/>
    </row>
    <row r="156" spans="1:8" s="378" customFormat="1">
      <c r="A156" s="383"/>
      <c r="B156" s="383"/>
      <c r="C156" s="383"/>
      <c r="D156" s="383"/>
      <c r="E156" s="383"/>
      <c r="F156" s="383"/>
      <c r="G156" s="383"/>
      <c r="H156" s="379"/>
    </row>
    <row r="157" spans="1:8" s="378" customFormat="1">
      <c r="A157" s="383"/>
      <c r="B157" s="383"/>
      <c r="C157" s="383"/>
      <c r="D157" s="383"/>
      <c r="E157" s="383"/>
      <c r="F157" s="383"/>
      <c r="G157" s="383"/>
      <c r="H157" s="379"/>
    </row>
    <row r="158" spans="1:8" s="378" customFormat="1">
      <c r="A158" s="383"/>
      <c r="B158" s="383"/>
      <c r="C158" s="383"/>
      <c r="D158" s="383"/>
      <c r="E158" s="383"/>
      <c r="F158" s="383"/>
      <c r="G158" s="383"/>
      <c r="H158" s="379"/>
    </row>
    <row r="159" spans="1:8" s="378" customFormat="1">
      <c r="A159" s="383"/>
      <c r="B159" s="383"/>
      <c r="C159" s="383"/>
      <c r="D159" s="383"/>
      <c r="E159" s="383"/>
      <c r="F159" s="383"/>
      <c r="G159" s="383"/>
      <c r="H159" s="379"/>
    </row>
    <row r="160" spans="1:8" s="378" customFormat="1">
      <c r="A160" s="383"/>
      <c r="B160" s="383"/>
      <c r="C160" s="383"/>
      <c r="D160" s="383"/>
      <c r="E160" s="383"/>
      <c r="F160" s="383"/>
      <c r="G160" s="383"/>
      <c r="H160" s="379"/>
    </row>
    <row r="161" spans="1:8" s="378" customFormat="1">
      <c r="A161" s="383"/>
      <c r="B161" s="383"/>
      <c r="C161" s="383"/>
      <c r="D161" s="383"/>
      <c r="E161" s="383"/>
      <c r="F161" s="383"/>
      <c r="G161" s="383"/>
      <c r="H161" s="379"/>
    </row>
    <row r="162" spans="1:8" s="378" customFormat="1">
      <c r="A162" s="383"/>
      <c r="B162" s="383"/>
      <c r="C162" s="383"/>
      <c r="D162" s="383"/>
      <c r="E162" s="383"/>
      <c r="F162" s="383"/>
      <c r="G162" s="383"/>
      <c r="H162" s="379"/>
    </row>
    <row r="163" spans="1:8" s="378" customFormat="1">
      <c r="A163" s="383"/>
      <c r="B163" s="383"/>
      <c r="C163" s="383"/>
      <c r="D163" s="383"/>
      <c r="E163" s="383"/>
      <c r="F163" s="383"/>
      <c r="G163" s="383"/>
      <c r="H163" s="379"/>
    </row>
    <row r="164" spans="1:8" s="378" customFormat="1">
      <c r="A164" s="383"/>
      <c r="B164" s="383"/>
      <c r="C164" s="383"/>
      <c r="D164" s="383"/>
      <c r="E164" s="383"/>
      <c r="F164" s="383"/>
      <c r="G164" s="383"/>
      <c r="H164" s="379"/>
    </row>
    <row r="165" spans="1:8" s="378" customFormat="1">
      <c r="A165" s="383"/>
      <c r="B165" s="383"/>
      <c r="C165" s="383"/>
      <c r="D165" s="383"/>
      <c r="E165" s="383"/>
      <c r="F165" s="383"/>
      <c r="G165" s="383"/>
      <c r="H165" s="379"/>
    </row>
    <row r="166" spans="1:8" s="378" customFormat="1">
      <c r="A166" s="383"/>
      <c r="B166" s="383"/>
      <c r="C166" s="383"/>
      <c r="D166" s="383"/>
      <c r="E166" s="383"/>
      <c r="F166" s="383"/>
      <c r="G166" s="383"/>
      <c r="H166" s="379"/>
    </row>
    <row r="167" spans="1:8" s="378" customFormat="1">
      <c r="A167" s="383"/>
      <c r="B167" s="383"/>
      <c r="C167" s="383"/>
      <c r="D167" s="383"/>
      <c r="E167" s="383"/>
      <c r="F167" s="383"/>
      <c r="G167" s="383"/>
      <c r="H167" s="379"/>
    </row>
    <row r="168" spans="1:8" s="378" customFormat="1">
      <c r="A168" s="383"/>
      <c r="B168" s="383"/>
      <c r="C168" s="383"/>
      <c r="D168" s="383"/>
      <c r="E168" s="383"/>
      <c r="F168" s="383"/>
      <c r="G168" s="383"/>
      <c r="H168" s="379"/>
    </row>
    <row r="169" spans="1:8" s="378" customFormat="1">
      <c r="A169" s="383"/>
      <c r="B169" s="383"/>
      <c r="C169" s="383"/>
      <c r="D169" s="383"/>
      <c r="E169" s="383"/>
      <c r="F169" s="383"/>
      <c r="G169" s="383"/>
      <c r="H169" s="379"/>
    </row>
    <row r="170" spans="1:8" s="378" customFormat="1">
      <c r="A170" s="383"/>
      <c r="B170" s="383"/>
      <c r="C170" s="383"/>
      <c r="D170" s="383"/>
      <c r="E170" s="383"/>
      <c r="F170" s="383"/>
      <c r="G170" s="383"/>
      <c r="H170" s="379"/>
    </row>
    <row r="171" spans="1:8" s="378" customFormat="1">
      <c r="A171" s="383"/>
      <c r="B171" s="383"/>
      <c r="C171" s="383"/>
      <c r="D171" s="383"/>
      <c r="E171" s="383"/>
      <c r="F171" s="383"/>
      <c r="G171" s="383"/>
      <c r="H171" s="379"/>
    </row>
    <row r="172" spans="1:8" s="378" customFormat="1">
      <c r="A172" s="383"/>
      <c r="B172" s="383"/>
      <c r="C172" s="383"/>
      <c r="D172" s="383"/>
      <c r="E172" s="383"/>
      <c r="F172" s="383"/>
      <c r="G172" s="383"/>
      <c r="H172" s="379"/>
    </row>
    <row r="173" spans="1:8" s="378" customFormat="1">
      <c r="A173" s="383"/>
      <c r="B173" s="383"/>
      <c r="C173" s="383"/>
      <c r="D173" s="383"/>
      <c r="E173" s="383"/>
      <c r="F173" s="383"/>
      <c r="G173" s="383"/>
      <c r="H173" s="379"/>
    </row>
    <row r="174" spans="1:8" s="378" customFormat="1">
      <c r="A174" s="383"/>
      <c r="B174" s="383"/>
      <c r="C174" s="383"/>
      <c r="D174" s="383"/>
      <c r="E174" s="383"/>
      <c r="F174" s="383"/>
      <c r="G174" s="383"/>
      <c r="H174" s="379"/>
    </row>
    <row r="175" spans="1:8" s="378" customFormat="1">
      <c r="A175" s="383"/>
      <c r="B175" s="383"/>
      <c r="C175" s="383"/>
      <c r="D175" s="383"/>
      <c r="E175" s="383"/>
      <c r="F175" s="383"/>
      <c r="G175" s="383"/>
      <c r="H175" s="379"/>
    </row>
    <row r="176" spans="1:8" s="378" customFormat="1">
      <c r="A176" s="383"/>
      <c r="B176" s="383"/>
      <c r="C176" s="383"/>
      <c r="D176" s="383"/>
      <c r="E176" s="383"/>
      <c r="F176" s="383"/>
      <c r="G176" s="383"/>
      <c r="H176" s="379"/>
    </row>
    <row r="177" spans="1:8" s="378" customFormat="1">
      <c r="A177" s="383"/>
      <c r="B177" s="383"/>
      <c r="C177" s="383"/>
      <c r="D177" s="383"/>
      <c r="E177" s="383"/>
      <c r="F177" s="383"/>
      <c r="G177" s="383"/>
      <c r="H177" s="379"/>
    </row>
    <row r="178" spans="1:8" s="378" customFormat="1">
      <c r="A178" s="383"/>
      <c r="B178" s="383"/>
      <c r="C178" s="383"/>
      <c r="D178" s="383"/>
      <c r="E178" s="383"/>
      <c r="F178" s="383"/>
      <c r="G178" s="383"/>
      <c r="H178" s="379"/>
    </row>
    <row r="179" spans="1:8" s="378" customFormat="1">
      <c r="A179" s="383"/>
      <c r="B179" s="383"/>
      <c r="C179" s="383"/>
      <c r="D179" s="383"/>
      <c r="E179" s="383"/>
      <c r="F179" s="383"/>
      <c r="G179" s="383"/>
      <c r="H179" s="379"/>
    </row>
    <row r="180" spans="1:8" s="378" customFormat="1">
      <c r="A180" s="383"/>
      <c r="B180" s="383"/>
      <c r="C180" s="383"/>
      <c r="D180" s="383"/>
      <c r="E180" s="383"/>
      <c r="F180" s="383"/>
      <c r="G180" s="383"/>
      <c r="H180" s="379"/>
    </row>
    <row r="181" spans="1:8" s="378" customFormat="1">
      <c r="A181" s="383"/>
      <c r="B181" s="383"/>
      <c r="C181" s="383"/>
      <c r="D181" s="383"/>
      <c r="E181" s="383"/>
      <c r="F181" s="383"/>
      <c r="G181" s="383"/>
      <c r="H181" s="379"/>
    </row>
    <row r="182" spans="1:8" s="378" customFormat="1">
      <c r="A182" s="383"/>
      <c r="B182" s="383"/>
      <c r="C182" s="383"/>
      <c r="D182" s="383"/>
      <c r="E182" s="383"/>
      <c r="F182" s="383"/>
      <c r="G182" s="383"/>
      <c r="H182" s="379"/>
    </row>
    <row r="183" spans="1:8" s="378" customFormat="1">
      <c r="A183" s="383"/>
      <c r="B183" s="383"/>
      <c r="C183" s="383"/>
      <c r="D183" s="383"/>
      <c r="E183" s="383"/>
      <c r="F183" s="383"/>
      <c r="G183" s="383"/>
      <c r="H183" s="379"/>
    </row>
    <row r="184" spans="1:8" s="378" customFormat="1">
      <c r="A184" s="383"/>
      <c r="B184" s="383"/>
      <c r="C184" s="383"/>
      <c r="D184" s="383"/>
      <c r="E184" s="383"/>
      <c r="F184" s="383"/>
      <c r="G184" s="383"/>
      <c r="H184" s="379"/>
    </row>
    <row r="185" spans="1:8" s="378" customFormat="1">
      <c r="A185" s="383"/>
      <c r="B185" s="383"/>
      <c r="C185" s="383"/>
      <c r="D185" s="383"/>
      <c r="E185" s="383"/>
      <c r="F185" s="383"/>
      <c r="G185" s="383"/>
      <c r="H185" s="379"/>
    </row>
    <row r="186" spans="1:8" s="378" customFormat="1">
      <c r="A186" s="383"/>
      <c r="B186" s="383"/>
      <c r="C186" s="383"/>
      <c r="D186" s="383"/>
      <c r="E186" s="383"/>
      <c r="F186" s="383"/>
      <c r="G186" s="383"/>
      <c r="H186" s="379"/>
    </row>
    <row r="187" spans="1:8" s="378" customFormat="1">
      <c r="A187" s="383"/>
      <c r="B187" s="383"/>
      <c r="C187" s="383"/>
      <c r="D187" s="383"/>
      <c r="E187" s="383"/>
      <c r="F187" s="383"/>
      <c r="G187" s="383"/>
      <c r="H187" s="379"/>
    </row>
    <row r="188" spans="1:8" s="378" customFormat="1">
      <c r="A188" s="383"/>
      <c r="B188" s="383"/>
      <c r="C188" s="383"/>
      <c r="D188" s="383"/>
      <c r="E188" s="383"/>
      <c r="F188" s="383"/>
      <c r="G188" s="383"/>
      <c r="H188" s="379"/>
    </row>
    <row r="189" spans="1:8" s="378" customFormat="1">
      <c r="A189" s="383"/>
      <c r="B189" s="383"/>
      <c r="C189" s="383"/>
      <c r="D189" s="383"/>
      <c r="E189" s="383"/>
      <c r="F189" s="383"/>
      <c r="G189" s="383"/>
      <c r="H189" s="379"/>
    </row>
    <row r="190" spans="1:8" s="378" customFormat="1">
      <c r="A190" s="383"/>
      <c r="B190" s="383"/>
      <c r="C190" s="383"/>
      <c r="D190" s="383"/>
      <c r="E190" s="383"/>
      <c r="F190" s="383"/>
      <c r="G190" s="383"/>
      <c r="H190" s="379"/>
    </row>
    <row r="191" spans="1:8" s="378" customFormat="1">
      <c r="A191" s="383"/>
      <c r="B191" s="383"/>
      <c r="C191" s="383"/>
      <c r="D191" s="383"/>
      <c r="E191" s="383"/>
      <c r="F191" s="383"/>
      <c r="G191" s="383"/>
      <c r="H191" s="379"/>
    </row>
    <row r="192" spans="1:8" s="378" customFormat="1">
      <c r="A192" s="383"/>
      <c r="B192" s="383"/>
      <c r="C192" s="383"/>
      <c r="D192" s="383"/>
      <c r="E192" s="383"/>
      <c r="F192" s="383"/>
      <c r="G192" s="383"/>
      <c r="H192" s="379"/>
    </row>
    <row r="193" spans="1:8" s="378" customFormat="1">
      <c r="A193" s="383"/>
      <c r="B193" s="383"/>
      <c r="C193" s="383"/>
      <c r="D193" s="383"/>
      <c r="E193" s="383"/>
      <c r="F193" s="383"/>
      <c r="G193" s="383"/>
      <c r="H193" s="379"/>
    </row>
    <row r="194" spans="1:8" s="378" customFormat="1">
      <c r="A194" s="383"/>
      <c r="B194" s="383"/>
      <c r="C194" s="383"/>
      <c r="D194" s="383"/>
      <c r="E194" s="383"/>
      <c r="F194" s="383"/>
      <c r="G194" s="383"/>
      <c r="H194" s="379"/>
    </row>
    <row r="195" spans="1:8" s="378" customFormat="1">
      <c r="A195" s="383"/>
      <c r="B195" s="383"/>
      <c r="C195" s="383"/>
      <c r="D195" s="383"/>
      <c r="E195" s="383"/>
      <c r="F195" s="383"/>
      <c r="G195" s="383"/>
      <c r="H195" s="379"/>
    </row>
    <row r="196" spans="1:8" s="378" customFormat="1">
      <c r="A196" s="383"/>
      <c r="B196" s="383"/>
      <c r="C196" s="383"/>
      <c r="D196" s="383"/>
      <c r="E196" s="383"/>
      <c r="F196" s="383"/>
      <c r="G196" s="383"/>
      <c r="H196" s="379"/>
    </row>
    <row r="197" spans="1:8" s="378" customFormat="1">
      <c r="A197" s="383"/>
      <c r="B197" s="383"/>
      <c r="C197" s="383"/>
      <c r="D197" s="383"/>
      <c r="E197" s="383"/>
      <c r="F197" s="383"/>
      <c r="G197" s="383"/>
      <c r="H197" s="379"/>
    </row>
    <row r="198" spans="1:8" s="378" customFormat="1">
      <c r="A198" s="383"/>
      <c r="B198" s="383"/>
      <c r="C198" s="383"/>
      <c r="D198" s="383"/>
      <c r="E198" s="383"/>
      <c r="F198" s="383"/>
      <c r="G198" s="383"/>
      <c r="H198" s="379"/>
    </row>
    <row r="199" spans="1:8" s="378" customFormat="1">
      <c r="A199" s="383"/>
      <c r="B199" s="383"/>
      <c r="C199" s="383"/>
      <c r="D199" s="383"/>
      <c r="E199" s="383"/>
      <c r="F199" s="383"/>
      <c r="G199" s="383"/>
      <c r="H199" s="379"/>
    </row>
    <row r="200" spans="1:8" s="378" customFormat="1">
      <c r="A200" s="383"/>
      <c r="B200" s="383"/>
      <c r="C200" s="383"/>
      <c r="D200" s="383"/>
      <c r="E200" s="383"/>
      <c r="F200" s="383"/>
      <c r="G200" s="383"/>
      <c r="H200" s="379"/>
    </row>
    <row r="201" spans="1:8" s="378" customFormat="1">
      <c r="A201" s="383"/>
      <c r="B201" s="383"/>
      <c r="C201" s="383"/>
      <c r="D201" s="383"/>
      <c r="E201" s="383"/>
      <c r="F201" s="383"/>
      <c r="G201" s="383"/>
      <c r="H201" s="379"/>
    </row>
    <row r="202" spans="1:8" s="378" customFormat="1">
      <c r="A202" s="383"/>
      <c r="B202" s="383"/>
      <c r="C202" s="383"/>
      <c r="D202" s="383"/>
      <c r="E202" s="383"/>
      <c r="F202" s="383"/>
      <c r="G202" s="383"/>
      <c r="H202" s="379"/>
    </row>
    <row r="205" spans="1:8" s="378" customFormat="1"/>
    <row r="212" spans="1:2" s="378" customFormat="1"/>
    <row r="217" spans="1:2" s="378" customFormat="1">
      <c r="B217" s="349"/>
    </row>
    <row r="222" spans="1:2" s="378" customFormat="1">
      <c r="B222" s="349"/>
    </row>
    <row r="223" spans="1:2">
      <c r="A223" s="380"/>
    </row>
    <row r="224" spans="1:2">
      <c r="A224" s="380"/>
    </row>
    <row r="225" spans="1:1">
      <c r="A225" s="380"/>
    </row>
  </sheetData>
  <sheetProtection password="FFED" sheet="1" objects="1" scenarios="1" selectLockedCells="1" selectUnlockedCells="1"/>
  <phoneticPr fontId="19" type="noConversion"/>
  <printOptions horizontalCentered="1"/>
  <pageMargins left="0.5" right="0.5" top="1.25" bottom="0.75" header="0.75" footer="0.5"/>
  <pageSetup orientation="portrait" cellComments="asDisplayed" verticalDpi="300" r:id="rId1"/>
  <headerFooter alignWithMargins="0">
    <oddHeader>&amp;L&amp;"Trebuchet MS,Regular"Calibration of LPG Provers&amp;R&amp;"Trebuchet MS,Regular"WAMRF-014, Rev. 21, 3/26/2010</oddHeader>
    <oddFooter>&amp;L&amp;"Trebuchet MS,Regular"&amp;F&amp;R&amp;"Trebuchet MS,Regular"&amp;A Worksheet Page &amp;P of &amp;N</oddFooter>
  </headerFooter>
  <tableParts count="1">
    <tablePart r:id="rId2"/>
  </tableParts>
</worksheet>
</file>

<file path=xl/worksheets/sheet10.xml><?xml version="1.0" encoding="utf-8"?>
<worksheet xmlns="http://schemas.openxmlformats.org/spreadsheetml/2006/main" xmlns:r="http://schemas.openxmlformats.org/officeDocument/2006/relationships">
  <sheetPr enableFormatConditionsCalculation="0">
    <tabColor indexed="20"/>
  </sheetPr>
  <dimension ref="A1:Q290"/>
  <sheetViews>
    <sheetView showGridLines="0" zoomScaleNormal="100" workbookViewId="0"/>
  </sheetViews>
  <sheetFormatPr defaultColWidth="0" defaultRowHeight="15.75" zeroHeight="1"/>
  <cols>
    <col min="1" max="1" width="12.109375" style="25" customWidth="1"/>
    <col min="2" max="14" width="10.33203125" style="25" customWidth="1"/>
    <col min="15" max="15" width="1.77734375" style="25" customWidth="1"/>
    <col min="16" max="16384" width="7.109375" style="25" hidden="1"/>
  </cols>
  <sheetData>
    <row r="1" spans="1:14" ht="19.5" thickBot="1">
      <c r="A1" s="188" t="s">
        <v>80</v>
      </c>
      <c r="B1" s="189"/>
      <c r="C1" s="189"/>
      <c r="D1" s="189"/>
      <c r="E1" s="189"/>
      <c r="F1" s="189"/>
      <c r="G1" s="189"/>
      <c r="H1" s="189"/>
      <c r="I1" s="190"/>
      <c r="J1" s="189"/>
      <c r="K1" s="189"/>
      <c r="L1" s="189"/>
      <c r="M1" s="189"/>
      <c r="N1" s="191" t="str">
        <f>IF(ISBLANK(RptNo),"","Report Number: "&amp;RptNo)</f>
        <v/>
      </c>
    </row>
    <row r="2" spans="1:14" ht="12" customHeight="1">
      <c r="A2" s="69"/>
      <c r="B2" s="69"/>
      <c r="C2" s="69"/>
      <c r="D2" s="69"/>
      <c r="E2" s="70"/>
      <c r="F2" s="70"/>
      <c r="G2" s="70"/>
      <c r="H2" s="70"/>
      <c r="I2" s="70"/>
    </row>
    <row r="3" spans="1:14" ht="18.75" thickBot="1">
      <c r="A3" s="192" t="s">
        <v>39</v>
      </c>
      <c r="B3" s="189"/>
      <c r="C3" s="189"/>
      <c r="D3" s="189"/>
      <c r="E3" s="193"/>
      <c r="F3" s="193"/>
      <c r="G3" s="193"/>
      <c r="H3" s="193"/>
      <c r="I3" s="189"/>
      <c r="J3" s="189"/>
      <c r="K3" s="189"/>
      <c r="L3" s="189"/>
      <c r="M3" s="189"/>
      <c r="N3" s="189"/>
    </row>
    <row r="4" spans="1:14" ht="16.5">
      <c r="A4" s="154" t="s">
        <v>101</v>
      </c>
      <c r="B4" s="26"/>
      <c r="C4" s="26"/>
      <c r="D4" s="26"/>
      <c r="E4" s="27"/>
      <c r="F4" s="27"/>
      <c r="G4" s="27"/>
      <c r="H4" s="27"/>
      <c r="I4" s="26"/>
    </row>
    <row r="5" spans="1:14" ht="12" customHeight="1">
      <c r="A5" s="69"/>
      <c r="B5" s="69"/>
      <c r="C5" s="69"/>
      <c r="D5" s="69"/>
      <c r="E5" s="70"/>
      <c r="F5" s="70"/>
      <c r="G5" s="70"/>
      <c r="H5" s="70"/>
      <c r="I5" s="70"/>
    </row>
    <row r="6" spans="1:14" ht="18.75" thickBot="1">
      <c r="A6" s="192" t="s">
        <v>40</v>
      </c>
      <c r="B6" s="193"/>
      <c r="C6" s="189"/>
      <c r="D6" s="193"/>
      <c r="E6" s="193"/>
      <c r="F6" s="193"/>
      <c r="G6" s="193"/>
      <c r="H6" s="193"/>
      <c r="I6" s="189"/>
      <c r="J6" s="189"/>
      <c r="K6" s="189"/>
      <c r="L6" s="189"/>
      <c r="M6" s="189"/>
      <c r="N6" s="189"/>
    </row>
    <row r="7" spans="1:14">
      <c r="A7" s="63" t="s">
        <v>263</v>
      </c>
      <c r="B7" s="27"/>
      <c r="C7" s="26"/>
      <c r="D7" s="27"/>
      <c r="E7" s="27"/>
      <c r="F7" s="27"/>
      <c r="G7" s="27"/>
      <c r="H7" s="27"/>
      <c r="I7" s="26"/>
    </row>
    <row r="8" spans="1:14" s="26" customFormat="1" ht="53.25" customHeight="1">
      <c r="A8" s="194"/>
      <c r="C8" s="27"/>
      <c r="D8" s="27"/>
      <c r="E8" s="27"/>
      <c r="F8" s="27"/>
      <c r="G8" s="27"/>
      <c r="H8" s="27"/>
    </row>
    <row r="9" spans="1:14" s="26" customFormat="1" ht="20.25">
      <c r="A9" s="294" t="s">
        <v>259</v>
      </c>
      <c r="C9" s="27"/>
      <c r="D9" s="27"/>
      <c r="E9" s="27"/>
      <c r="F9" s="27"/>
      <c r="G9" s="27"/>
      <c r="H9" s="27"/>
    </row>
    <row r="10" spans="1:14" s="26" customFormat="1">
      <c r="A10" s="194"/>
      <c r="C10" s="27"/>
      <c r="D10" s="27"/>
      <c r="E10" s="27"/>
      <c r="F10" s="27"/>
      <c r="G10" s="27"/>
      <c r="H10" s="27"/>
    </row>
    <row r="11" spans="1:14">
      <c r="B11" s="64" t="s">
        <v>38</v>
      </c>
      <c r="C11" s="65"/>
      <c r="D11" s="65"/>
      <c r="E11" s="65"/>
      <c r="F11" s="65"/>
      <c r="G11" s="65"/>
      <c r="H11" s="65"/>
      <c r="I11" s="66"/>
    </row>
    <row r="12" spans="1:14" ht="17.25" customHeight="1">
      <c r="B12" s="67" t="s">
        <v>183</v>
      </c>
      <c r="C12" s="694" t="s">
        <v>184</v>
      </c>
      <c r="D12" s="694"/>
      <c r="E12" s="694"/>
      <c r="F12" s="694"/>
      <c r="G12" s="694"/>
      <c r="H12" s="694"/>
      <c r="I12" s="694"/>
      <c r="J12" s="694"/>
      <c r="K12" s="694"/>
      <c r="L12" s="694"/>
      <c r="M12" s="694"/>
      <c r="N12" s="694"/>
    </row>
    <row r="13" spans="1:14" ht="17.25">
      <c r="B13" s="67" t="s">
        <v>185</v>
      </c>
      <c r="C13" s="694" t="s">
        <v>186</v>
      </c>
      <c r="D13" s="694"/>
      <c r="E13" s="694"/>
      <c r="F13" s="694"/>
      <c r="G13" s="694"/>
      <c r="H13" s="694"/>
      <c r="I13" s="694"/>
      <c r="J13" s="694"/>
      <c r="K13" s="694"/>
      <c r="L13" s="694"/>
      <c r="M13" s="694"/>
      <c r="N13" s="694"/>
    </row>
    <row r="14" spans="1:14" ht="33" customHeight="1">
      <c r="B14" s="68" t="s">
        <v>160</v>
      </c>
      <c r="C14" s="694" t="s">
        <v>187</v>
      </c>
      <c r="D14" s="694"/>
      <c r="E14" s="694"/>
      <c r="F14" s="694"/>
      <c r="G14" s="694"/>
      <c r="H14" s="694"/>
      <c r="I14" s="694"/>
      <c r="J14" s="694"/>
      <c r="K14" s="694"/>
      <c r="L14" s="694"/>
      <c r="M14" s="694"/>
      <c r="N14" s="694"/>
    </row>
    <row r="15" spans="1:14" ht="48" customHeight="1">
      <c r="B15" s="68" t="s">
        <v>161</v>
      </c>
      <c r="C15" s="694" t="s">
        <v>311</v>
      </c>
      <c r="D15" s="694"/>
      <c r="E15" s="694"/>
      <c r="F15" s="694"/>
      <c r="G15" s="694"/>
      <c r="H15" s="694"/>
      <c r="I15" s="694"/>
      <c r="J15" s="694"/>
      <c r="K15" s="694"/>
      <c r="L15" s="694"/>
      <c r="M15" s="694"/>
      <c r="N15" s="694"/>
    </row>
    <row r="16" spans="1:14" ht="17.25">
      <c r="B16" s="67" t="s">
        <v>162</v>
      </c>
      <c r="C16" s="694" t="s">
        <v>41</v>
      </c>
      <c r="D16" s="694"/>
      <c r="E16" s="694"/>
      <c r="F16" s="694"/>
      <c r="G16" s="694"/>
      <c r="H16" s="694"/>
      <c r="I16" s="694"/>
      <c r="J16" s="694"/>
      <c r="K16" s="694"/>
      <c r="L16" s="694"/>
      <c r="M16" s="694"/>
      <c r="N16" s="694"/>
    </row>
    <row r="17" spans="1:14">
      <c r="B17" s="67" t="s">
        <v>62</v>
      </c>
      <c r="C17" s="694" t="s">
        <v>188</v>
      </c>
      <c r="D17" s="694"/>
      <c r="E17" s="694"/>
      <c r="F17" s="694"/>
      <c r="G17" s="694"/>
      <c r="H17" s="694"/>
      <c r="I17" s="694"/>
      <c r="J17" s="694"/>
      <c r="K17" s="694"/>
      <c r="L17" s="694"/>
      <c r="M17" s="694"/>
      <c r="N17" s="694"/>
    </row>
    <row r="18" spans="1:14">
      <c r="B18" s="67" t="s">
        <v>63</v>
      </c>
      <c r="C18" s="694" t="s">
        <v>189</v>
      </c>
      <c r="D18" s="694"/>
      <c r="E18" s="694"/>
      <c r="F18" s="694"/>
      <c r="G18" s="694"/>
      <c r="H18" s="694"/>
      <c r="I18" s="694"/>
      <c r="J18" s="694"/>
      <c r="K18" s="694"/>
      <c r="L18" s="694"/>
      <c r="M18" s="694"/>
      <c r="N18" s="694"/>
    </row>
    <row r="19" spans="1:14" ht="17.25">
      <c r="B19" s="67" t="s">
        <v>163</v>
      </c>
      <c r="C19" s="694" t="s">
        <v>190</v>
      </c>
      <c r="D19" s="694"/>
      <c r="E19" s="694"/>
      <c r="F19" s="694"/>
      <c r="G19" s="694"/>
      <c r="H19" s="694"/>
      <c r="I19" s="694"/>
      <c r="J19" s="694"/>
      <c r="K19" s="694"/>
      <c r="L19" s="694"/>
      <c r="M19" s="694"/>
      <c r="N19" s="694"/>
    </row>
    <row r="20" spans="1:14" ht="17.25">
      <c r="B20" s="67" t="s">
        <v>164</v>
      </c>
      <c r="C20" s="694" t="s">
        <v>191</v>
      </c>
      <c r="D20" s="694"/>
      <c r="E20" s="694"/>
      <c r="F20" s="694"/>
      <c r="G20" s="694"/>
      <c r="H20" s="694"/>
      <c r="I20" s="694"/>
      <c r="J20" s="694"/>
      <c r="K20" s="694"/>
      <c r="L20" s="694"/>
      <c r="M20" s="694"/>
      <c r="N20" s="694"/>
    </row>
    <row r="21" spans="1:14" ht="12" customHeight="1">
      <c r="A21" s="69"/>
      <c r="B21" s="69"/>
      <c r="C21" s="69"/>
      <c r="D21" s="69"/>
      <c r="E21" s="70"/>
      <c r="F21" s="70"/>
      <c r="G21" s="70"/>
      <c r="H21" s="70"/>
      <c r="I21" s="70"/>
    </row>
    <row r="22" spans="1:14" s="199" customFormat="1" ht="18.75" thickBot="1">
      <c r="A22" s="195" t="s">
        <v>192</v>
      </c>
      <c r="B22" s="196"/>
      <c r="C22" s="196"/>
      <c r="D22" s="196"/>
      <c r="E22" s="197"/>
      <c r="F22" s="197"/>
      <c r="G22" s="197"/>
      <c r="H22" s="197"/>
      <c r="I22" s="197"/>
      <c r="J22" s="198"/>
      <c r="K22" s="198"/>
      <c r="L22" s="198"/>
      <c r="M22" s="198"/>
      <c r="N22" s="198"/>
    </row>
    <row r="23" spans="1:14" s="199" customFormat="1" ht="16.5" customHeight="1">
      <c r="A23" s="695" t="s">
        <v>193</v>
      </c>
      <c r="B23" s="695"/>
      <c r="C23" s="695"/>
      <c r="D23" s="695"/>
      <c r="E23" s="695"/>
      <c r="F23" s="696"/>
      <c r="G23" s="702" t="s">
        <v>341</v>
      </c>
      <c r="H23" s="702"/>
      <c r="I23" s="702"/>
      <c r="J23" s="702"/>
      <c r="K23" s="702"/>
      <c r="L23" s="702"/>
      <c r="M23" s="702"/>
      <c r="N23" s="703"/>
    </row>
    <row r="24" spans="1:14" s="199" customFormat="1" ht="33.75" customHeight="1">
      <c r="A24" s="200" t="str">
        <f>IF('LPG Prover Data Entry'!C51="","",SUM('LPG Prover Data Entry'!C51:C65))</f>
        <v/>
      </c>
      <c r="B24" s="201" t="str">
        <f>IF(NomValUnit="Nominal Volume (L)","L","gal")</f>
        <v>gal</v>
      </c>
      <c r="C24" s="697" t="s">
        <v>261</v>
      </c>
      <c r="D24" s="698"/>
      <c r="E24" s="698"/>
      <c r="F24" s="699"/>
      <c r="G24" s="296" t="str">
        <f>IF(_unc1=0,"",_unc1/k_1*drops1+_unc2/k_2*drops2+_unc3/k_3*drops3+_unc4/k_4*drops4)</f>
        <v/>
      </c>
      <c r="H24" s="201" t="str">
        <f>IF(NomValUnit="Nominal Volume (L)","L","gal")</f>
        <v>gal</v>
      </c>
      <c r="I24" s="700" t="s">
        <v>332</v>
      </c>
      <c r="J24" s="701"/>
      <c r="K24" s="701"/>
      <c r="L24" s="701"/>
      <c r="M24" s="701"/>
      <c r="N24" s="701"/>
    </row>
    <row r="25" spans="1:14" s="199" customFormat="1" ht="32.25" customHeight="1">
      <c r="A25" s="387" t="str">
        <f>IF('LPG Prover Data Entry'!E51="","",IF(NomValUnit="Nominal Volume (L)",SUM('LPG Prover Data Entry'!E51:E65)/1000,SUM('LPG Prover Data Entry'!E51:E65)/231))</f>
        <v/>
      </c>
      <c r="B25" s="388" t="str">
        <f>IF(NomValUnit="Nominal Volume (L)","L","gal")</f>
        <v>gal</v>
      </c>
      <c r="C25" s="683" t="s">
        <v>194</v>
      </c>
      <c r="D25" s="684"/>
      <c r="E25" s="684"/>
      <c r="F25" s="685"/>
      <c r="G25" s="389" t="str">
        <f>IF(PooledSD="","",PooledSD)</f>
        <v/>
      </c>
      <c r="H25" s="388" t="str">
        <f>IF(NomValUnit="Nominal Volume (L)","L","gal")</f>
        <v>gal</v>
      </c>
      <c r="I25" s="686" t="s">
        <v>333</v>
      </c>
      <c r="J25" s="687"/>
      <c r="K25" s="687"/>
      <c r="L25" s="687"/>
      <c r="M25" s="687"/>
      <c r="N25" s="687"/>
    </row>
    <row r="26" spans="1:14" s="199" customFormat="1" ht="30.75" customHeight="1">
      <c r="A26" s="295" t="str">
        <f>IF(a_1=0,"",a_1)</f>
        <v/>
      </c>
      <c r="B26" s="203" t="str">
        <f>IF(RefTempUnit="Designated Reference Temperature For This Calibration (ºC)","/ºC","/ºF")</f>
        <v>/ºF</v>
      </c>
      <c r="C26" s="690" t="s">
        <v>249</v>
      </c>
      <c r="D26" s="690"/>
      <c r="E26" s="690"/>
      <c r="F26" s="691"/>
      <c r="G26" s="297" t="str">
        <f>IF(Nom_Val="","",IF(NomValUnit="Nominal Volume (L)",0.000009,0.000005))</f>
        <v/>
      </c>
      <c r="H26" s="203" t="str">
        <f>IF(RefTempUnit="Designated Reference Temperature For This Calibration (ºC)","/ºC","/ºF")</f>
        <v>/ºF</v>
      </c>
      <c r="I26" s="692" t="s">
        <v>334</v>
      </c>
      <c r="J26" s="693"/>
      <c r="K26" s="693"/>
      <c r="L26" s="693"/>
      <c r="M26" s="693"/>
      <c r="N26" s="693"/>
    </row>
    <row r="27" spans="1:14" s="199" customFormat="1" ht="31.5" customHeight="1">
      <c r="A27" s="390" t="str">
        <f>IF(B="","",B)</f>
        <v/>
      </c>
      <c r="B27" s="388" t="str">
        <f>IF(RefTempUnit="Designated Reference Temperature For This Calibration (ºC)","/ºC","/ºF")</f>
        <v>/ºF</v>
      </c>
      <c r="C27" s="683" t="s">
        <v>250</v>
      </c>
      <c r="D27" s="684"/>
      <c r="E27" s="684"/>
      <c r="F27" s="685"/>
      <c r="G27" s="389" t="str">
        <f>IF(Nom_Val="","",IF(NomValUnit="Nominal Volume (L)",0.000009,0.000005))</f>
        <v/>
      </c>
      <c r="H27" s="388" t="str">
        <f>IF(RefTempUnit="Designated Reference Temperature For This Calibration (ºC)","/ºC","/ºF")</f>
        <v>/ºF</v>
      </c>
      <c r="I27" s="686" t="s">
        <v>335</v>
      </c>
      <c r="J27" s="687"/>
      <c r="K27" s="687"/>
      <c r="L27" s="687"/>
      <c r="M27" s="687"/>
      <c r="N27" s="687"/>
    </row>
    <row r="28" spans="1:14" s="199" customFormat="1" ht="31.5" customHeight="1">
      <c r="A28" s="202" t="str">
        <f>IF(Calculations!C6="","",AVERAGE(Calculations!C6:C20))</f>
        <v/>
      </c>
      <c r="B28" s="203" t="str">
        <f>IF(RefTempUnit="Designated Reference Temperature For This Calibration (ºC)","ºC","ºF")</f>
        <v>ºF</v>
      </c>
      <c r="C28" s="688" t="s">
        <v>312</v>
      </c>
      <c r="D28" s="688"/>
      <c r="E28" s="688"/>
      <c r="F28" s="689"/>
      <c r="G28" s="297" t="str">
        <f>IF(ISBLANK('LPG Prover Data Entry'!D42),"",IF(H28="ºF",'LPG Prover Data Entry'!G42*1.8,'LPG Prover Data Entry'!G42))</f>
        <v/>
      </c>
      <c r="H28" s="203" t="str">
        <f>IF(RefTempUnit="Designated Reference Temperature For This Calibration (ºC)","ºC","ºF")</f>
        <v>ºF</v>
      </c>
      <c r="I28" s="692" t="s">
        <v>336</v>
      </c>
      <c r="J28" s="693"/>
      <c r="K28" s="693"/>
      <c r="L28" s="693"/>
      <c r="M28" s="693"/>
      <c r="N28" s="693"/>
    </row>
    <row r="29" spans="1:14" s="199" customFormat="1" ht="30" customHeight="1">
      <c r="A29" s="387" t="str">
        <f>IF(Calculations!D24="","",Calculations!D24)</f>
        <v/>
      </c>
      <c r="B29" s="388" t="str">
        <f>IF(RefTempUnit="Designated Reference Temperature For This Calibration (ºC)","ºC","ºF")</f>
        <v>ºF</v>
      </c>
      <c r="C29" s="683" t="s">
        <v>229</v>
      </c>
      <c r="D29" s="684"/>
      <c r="E29" s="684"/>
      <c r="F29" s="685"/>
      <c r="G29" s="389" t="str">
        <f>IF(ISBLANK('LPG Prover Data Entry'!D43),"",IF(H29="ºF",'LPG Prover Data Entry'!G43*1.8,'LPG Prover Data Entry'!G43))</f>
        <v/>
      </c>
      <c r="H29" s="388" t="str">
        <f>IF(RefTempUnit="Designated Reference Temperature For This Calibration (ºC)","ºC","ºF")</f>
        <v>ºF</v>
      </c>
      <c r="I29" s="686" t="s">
        <v>337</v>
      </c>
      <c r="J29" s="687"/>
      <c r="K29" s="687"/>
      <c r="L29" s="687"/>
      <c r="M29" s="687"/>
      <c r="N29" s="687"/>
    </row>
    <row r="30" spans="1:14" s="199" customFormat="1" ht="30.75" customHeight="1">
      <c r="A30" s="295" t="str">
        <f>IF(Calculations!D6="","",AVERAGE(Calculations!D6:D20))</f>
        <v/>
      </c>
      <c r="B30" s="203" t="s">
        <v>64</v>
      </c>
      <c r="C30" s="690" t="s">
        <v>230</v>
      </c>
      <c r="D30" s="690"/>
      <c r="E30" s="690"/>
      <c r="F30" s="691"/>
      <c r="G30" s="297" t="str">
        <f>IF(A30="","",0.00004)</f>
        <v/>
      </c>
      <c r="H30" s="203" t="s">
        <v>64</v>
      </c>
      <c r="I30" s="692" t="s">
        <v>338</v>
      </c>
      <c r="J30" s="693"/>
      <c r="K30" s="693"/>
      <c r="L30" s="693"/>
      <c r="M30" s="693"/>
      <c r="N30" s="693"/>
    </row>
    <row r="31" spans="1:14" s="199" customFormat="1" ht="30.75" customHeight="1">
      <c r="A31" s="390" t="str">
        <f>IF(Calculations!D23="","",Calculations!D23)</f>
        <v/>
      </c>
      <c r="B31" s="388" t="s">
        <v>64</v>
      </c>
      <c r="C31" s="683" t="s">
        <v>231</v>
      </c>
      <c r="D31" s="684"/>
      <c r="E31" s="684"/>
      <c r="F31" s="685"/>
      <c r="G31" s="389" t="str">
        <f>IF(A31="","",0.00004)</f>
        <v/>
      </c>
      <c r="H31" s="388" t="s">
        <v>64</v>
      </c>
      <c r="I31" s="686" t="s">
        <v>339</v>
      </c>
      <c r="J31" s="687"/>
      <c r="K31" s="687"/>
      <c r="L31" s="687"/>
      <c r="M31" s="687"/>
      <c r="N31" s="687"/>
    </row>
    <row r="32" spans="1:14" s="199" customFormat="1" ht="45.75" customHeight="1">
      <c r="A32" s="295" t="str">
        <f>IF('LPG Prover Data Entry'!J78="","",IF(Scale.Unit="Scale Graduations (mL)",'LPG Prover Data Entry'!J78/1000,IF(Scale.Unit="Scale Graduations (in³)",'LPG Prover Data Entry'!J78/231,'LPG Prover Data Entry'!J78)))</f>
        <v/>
      </c>
      <c r="B32" s="203" t="str">
        <f>IF(NomValUnit="Nominal Volume (L)","L","gal")</f>
        <v>gal</v>
      </c>
      <c r="C32" s="688" t="s">
        <v>248</v>
      </c>
      <c r="D32" s="688"/>
      <c r="E32" s="688"/>
      <c r="F32" s="689"/>
      <c r="G32" s="297" t="str">
        <f>IF(increment="","",IF(grads1=0,0,grads1*drops1/4+grads2*drops2/4+grads3*drops3/4+grads4*drops4/4)+IF(Scale.Unit="Scale Graduations (mL)",increment/1000/4,IF(Scale.Unit="Scale Graduations (in³)",increment/231/4,increment/4)))</f>
        <v/>
      </c>
      <c r="H32" s="203" t="str">
        <f>IF(NomValUnit="Nominal Volume (L)","L","gal")</f>
        <v>gal</v>
      </c>
      <c r="I32" s="692" t="s">
        <v>340</v>
      </c>
      <c r="J32" s="693"/>
      <c r="K32" s="693"/>
      <c r="L32" s="693"/>
      <c r="M32" s="693"/>
      <c r="N32" s="693"/>
    </row>
    <row r="33" spans="1:17" s="199" customFormat="1" ht="15" customHeight="1">
      <c r="A33" s="390" t="str">
        <f>IF(RefT="","",RefT)</f>
        <v/>
      </c>
      <c r="B33" s="388" t="str">
        <f>IF(RefTempUnit="Designated Reference Temperature For This Calibration (ºC)","ºC","ºF")</f>
        <v>ºF</v>
      </c>
      <c r="C33" s="683" t="s">
        <v>195</v>
      </c>
      <c r="D33" s="684"/>
      <c r="E33" s="684"/>
      <c r="F33" s="685"/>
      <c r="G33" s="391" t="str">
        <f>IF(RefT="","",0)</f>
        <v/>
      </c>
      <c r="H33" s="388" t="str">
        <f>IF(RefTempUnit="Designated Reference Temperature For This Calibration (ºC)","ºC","ºF")</f>
        <v>ºF</v>
      </c>
      <c r="I33" s="686" t="s">
        <v>196</v>
      </c>
      <c r="J33" s="687"/>
      <c r="K33" s="687"/>
      <c r="L33" s="687"/>
      <c r="M33" s="687"/>
      <c r="N33" s="687"/>
    </row>
    <row r="34" spans="1:17" s="199" customFormat="1" ht="15">
      <c r="A34" s="204"/>
      <c r="B34" s="205"/>
      <c r="C34" s="205"/>
      <c r="D34" s="205"/>
      <c r="E34" s="206"/>
      <c r="F34" s="206"/>
      <c r="G34" s="207"/>
      <c r="H34" s="205"/>
      <c r="I34" s="208"/>
      <c r="J34" s="208"/>
      <c r="K34" s="208"/>
      <c r="L34" s="208"/>
    </row>
    <row r="35" spans="1:17" s="199" customFormat="1" ht="18.75" thickBot="1">
      <c r="A35" s="209" t="s">
        <v>197</v>
      </c>
      <c r="B35" s="209"/>
      <c r="C35" s="209"/>
      <c r="D35" s="209"/>
      <c r="E35" s="209"/>
      <c r="F35" s="209"/>
      <c r="G35" s="209"/>
      <c r="H35" s="209"/>
      <c r="I35" s="209"/>
      <c r="J35" s="209"/>
      <c r="K35" s="209"/>
      <c r="L35" s="209"/>
      <c r="M35" s="209"/>
      <c r="N35" s="209"/>
      <c r="O35" s="210"/>
      <c r="P35" s="210"/>
      <c r="Q35" s="210"/>
    </row>
    <row r="36" spans="1:17" s="199" customFormat="1" ht="49.5">
      <c r="A36" s="674" t="s">
        <v>198</v>
      </c>
      <c r="B36" s="675"/>
      <c r="C36" s="212" t="s">
        <v>199</v>
      </c>
      <c r="D36" s="213" t="s">
        <v>200</v>
      </c>
      <c r="E36" s="211" t="s">
        <v>201</v>
      </c>
      <c r="F36" s="211" t="s">
        <v>202</v>
      </c>
      <c r="G36" s="214" t="s">
        <v>23</v>
      </c>
      <c r="H36" s="214" t="s">
        <v>42</v>
      </c>
      <c r="I36" s="211" t="s">
        <v>203</v>
      </c>
      <c r="J36" s="215" t="s">
        <v>232</v>
      </c>
      <c r="K36" s="211" t="s">
        <v>233</v>
      </c>
      <c r="L36" s="216" t="s">
        <v>204</v>
      </c>
      <c r="M36" s="217"/>
      <c r="N36" s="217"/>
      <c r="O36" s="217"/>
      <c r="P36" s="217"/>
      <c r="Q36" s="217"/>
    </row>
    <row r="37" spans="1:17" s="199" customFormat="1" ht="30" customHeight="1">
      <c r="A37" s="669" t="s">
        <v>205</v>
      </c>
      <c r="B37" s="670"/>
      <c r="C37" s="218" t="s">
        <v>234</v>
      </c>
      <c r="D37" s="219" t="str">
        <f t="shared" ref="D37:D46" si="0">A24</f>
        <v/>
      </c>
      <c r="E37" s="220" t="str">
        <f>B24</f>
        <v>gal</v>
      </c>
      <c r="F37" s="221" t="str">
        <f t="shared" ref="F37:F46" si="1">G24</f>
        <v/>
      </c>
      <c r="G37" s="222" t="s">
        <v>24</v>
      </c>
      <c r="H37" s="222" t="s">
        <v>206</v>
      </c>
      <c r="I37" s="223">
        <v>1</v>
      </c>
      <c r="J37" s="224" t="e">
        <f t="shared" ref="J37:J46" si="2">F37/I37</f>
        <v>#VALUE!</v>
      </c>
      <c r="K37" s="225" t="e">
        <f>J37/D37</f>
        <v>#VALUE!</v>
      </c>
      <c r="L37" s="226"/>
      <c r="M37" s="217"/>
      <c r="N37" s="217"/>
      <c r="O37" s="217"/>
      <c r="P37" s="217"/>
      <c r="Q37" s="217"/>
    </row>
    <row r="38" spans="1:17" s="199" customFormat="1" ht="30" customHeight="1">
      <c r="A38" s="672" t="s">
        <v>207</v>
      </c>
      <c r="B38" s="673"/>
      <c r="C38" s="227" t="s">
        <v>235</v>
      </c>
      <c r="D38" s="228" t="str">
        <f t="shared" si="0"/>
        <v/>
      </c>
      <c r="E38" s="220" t="str">
        <f t="shared" ref="E38:E46" si="3">B25</f>
        <v>gal</v>
      </c>
      <c r="F38" s="229" t="str">
        <f t="shared" si="1"/>
        <v/>
      </c>
      <c r="G38" s="230" t="s">
        <v>25</v>
      </c>
      <c r="H38" s="230" t="s">
        <v>43</v>
      </c>
      <c r="I38" s="231">
        <v>1</v>
      </c>
      <c r="J38" s="224" t="e">
        <f t="shared" si="2"/>
        <v>#VALUE!</v>
      </c>
      <c r="K38" s="232" t="e">
        <f>J38/D37</f>
        <v>#VALUE!</v>
      </c>
      <c r="L38" s="233"/>
      <c r="M38" s="217"/>
      <c r="N38" s="217"/>
      <c r="O38" s="217"/>
      <c r="P38" s="217"/>
      <c r="Q38" s="217"/>
    </row>
    <row r="39" spans="1:17" s="199" customFormat="1" ht="28.5" customHeight="1">
      <c r="A39" s="672" t="s">
        <v>208</v>
      </c>
      <c r="B39" s="673"/>
      <c r="C39" s="227" t="s">
        <v>209</v>
      </c>
      <c r="D39" s="228" t="str">
        <f t="shared" si="0"/>
        <v/>
      </c>
      <c r="E39" s="220" t="str">
        <f t="shared" si="3"/>
        <v>/ºF</v>
      </c>
      <c r="F39" s="229" t="str">
        <f t="shared" si="1"/>
        <v/>
      </c>
      <c r="G39" s="230" t="s">
        <v>24</v>
      </c>
      <c r="H39" s="230" t="s">
        <v>210</v>
      </c>
      <c r="I39" s="231">
        <f>SQRT(3)</f>
        <v>1.7320508075688772</v>
      </c>
      <c r="J39" s="224" t="e">
        <f t="shared" si="2"/>
        <v>#VALUE!</v>
      </c>
      <c r="K39" s="232" t="e">
        <f t="shared" ref="K39:K46" si="4">J39/D39</f>
        <v>#VALUE!</v>
      </c>
      <c r="L39" s="233"/>
      <c r="M39" s="217"/>
      <c r="N39" s="217"/>
      <c r="O39" s="217"/>
      <c r="P39" s="217"/>
      <c r="Q39" s="217"/>
    </row>
    <row r="40" spans="1:17" s="199" customFormat="1" ht="27.75" customHeight="1">
      <c r="A40" s="672" t="s">
        <v>211</v>
      </c>
      <c r="B40" s="673"/>
      <c r="C40" s="227" t="s">
        <v>212</v>
      </c>
      <c r="D40" s="228" t="str">
        <f t="shared" si="0"/>
        <v/>
      </c>
      <c r="E40" s="220" t="str">
        <f t="shared" si="3"/>
        <v>/ºF</v>
      </c>
      <c r="F40" s="229" t="str">
        <f t="shared" si="1"/>
        <v/>
      </c>
      <c r="G40" s="230" t="s">
        <v>24</v>
      </c>
      <c r="H40" s="230" t="s">
        <v>210</v>
      </c>
      <c r="I40" s="231">
        <f>SQRT(3)</f>
        <v>1.7320508075688772</v>
      </c>
      <c r="J40" s="224" t="e">
        <f t="shared" si="2"/>
        <v>#VALUE!</v>
      </c>
      <c r="K40" s="232" t="e">
        <f t="shared" si="4"/>
        <v>#VALUE!</v>
      </c>
      <c r="L40" s="233"/>
      <c r="M40" s="217"/>
      <c r="N40" s="217"/>
      <c r="O40" s="217"/>
      <c r="P40" s="217"/>
      <c r="Q40" s="217"/>
    </row>
    <row r="41" spans="1:17" s="199" customFormat="1" ht="33" customHeight="1">
      <c r="A41" s="672" t="s">
        <v>213</v>
      </c>
      <c r="B41" s="673"/>
      <c r="C41" s="227" t="s">
        <v>236</v>
      </c>
      <c r="D41" s="228" t="str">
        <f t="shared" si="0"/>
        <v/>
      </c>
      <c r="E41" s="220" t="str">
        <f t="shared" si="3"/>
        <v>ºF</v>
      </c>
      <c r="F41" s="229" t="str">
        <f t="shared" si="1"/>
        <v/>
      </c>
      <c r="G41" s="230" t="s">
        <v>24</v>
      </c>
      <c r="H41" s="230" t="s">
        <v>210</v>
      </c>
      <c r="I41" s="231">
        <f>SQRT(3)</f>
        <v>1.7320508075688772</v>
      </c>
      <c r="J41" s="224" t="e">
        <f t="shared" si="2"/>
        <v>#VALUE!</v>
      </c>
      <c r="K41" s="232" t="e">
        <f t="shared" si="4"/>
        <v>#VALUE!</v>
      </c>
      <c r="L41" s="233"/>
      <c r="M41" s="217"/>
      <c r="N41" s="217"/>
      <c r="O41" s="217"/>
      <c r="P41" s="217"/>
      <c r="Q41" s="217"/>
    </row>
    <row r="42" spans="1:17" s="199" customFormat="1" ht="30" customHeight="1">
      <c r="A42" s="672" t="s">
        <v>214</v>
      </c>
      <c r="B42" s="673"/>
      <c r="C42" s="227" t="s">
        <v>237</v>
      </c>
      <c r="D42" s="228" t="str">
        <f t="shared" si="0"/>
        <v/>
      </c>
      <c r="E42" s="220" t="str">
        <f t="shared" si="3"/>
        <v>ºF</v>
      </c>
      <c r="F42" s="229" t="str">
        <f t="shared" si="1"/>
        <v/>
      </c>
      <c r="G42" s="230" t="s">
        <v>24</v>
      </c>
      <c r="H42" s="230" t="s">
        <v>210</v>
      </c>
      <c r="I42" s="229">
        <f>SQRT(3)</f>
        <v>1.7320508075688772</v>
      </c>
      <c r="J42" s="224" t="e">
        <f t="shared" si="2"/>
        <v>#VALUE!</v>
      </c>
      <c r="K42" s="232" t="e">
        <f t="shared" si="4"/>
        <v>#VALUE!</v>
      </c>
      <c r="L42" s="233"/>
      <c r="M42" s="217"/>
      <c r="N42" s="217"/>
      <c r="O42" s="217"/>
      <c r="P42" s="217"/>
      <c r="Q42" s="217"/>
    </row>
    <row r="43" spans="1:17" s="199" customFormat="1" ht="16.5">
      <c r="A43" s="672" t="s">
        <v>215</v>
      </c>
      <c r="B43" s="673"/>
      <c r="C43" s="227" t="s">
        <v>238</v>
      </c>
      <c r="D43" s="228" t="str">
        <f t="shared" si="0"/>
        <v/>
      </c>
      <c r="E43" s="220" t="str">
        <f t="shared" si="3"/>
        <v>g/cm³</v>
      </c>
      <c r="F43" s="229" t="str">
        <f t="shared" si="1"/>
        <v/>
      </c>
      <c r="G43" s="230" t="s">
        <v>24</v>
      </c>
      <c r="H43" s="230" t="s">
        <v>206</v>
      </c>
      <c r="I43" s="231">
        <v>1</v>
      </c>
      <c r="J43" s="224" t="e">
        <f t="shared" si="2"/>
        <v>#VALUE!</v>
      </c>
      <c r="K43" s="232" t="e">
        <f t="shared" si="4"/>
        <v>#VALUE!</v>
      </c>
      <c r="L43" s="233"/>
      <c r="M43" s="217"/>
      <c r="N43" s="217"/>
      <c r="O43" s="217"/>
      <c r="P43" s="217"/>
      <c r="Q43" s="217"/>
    </row>
    <row r="44" spans="1:17" s="199" customFormat="1" ht="26.25" customHeight="1">
      <c r="A44" s="672" t="s">
        <v>216</v>
      </c>
      <c r="B44" s="673"/>
      <c r="C44" s="227" t="s">
        <v>239</v>
      </c>
      <c r="D44" s="228" t="str">
        <f t="shared" si="0"/>
        <v/>
      </c>
      <c r="E44" s="220" t="str">
        <f t="shared" si="3"/>
        <v>g/cm³</v>
      </c>
      <c r="F44" s="229" t="str">
        <f t="shared" si="1"/>
        <v/>
      </c>
      <c r="G44" s="230" t="s">
        <v>24</v>
      </c>
      <c r="H44" s="230" t="s">
        <v>206</v>
      </c>
      <c r="I44" s="231">
        <v>1</v>
      </c>
      <c r="J44" s="224" t="e">
        <f t="shared" si="2"/>
        <v>#VALUE!</v>
      </c>
      <c r="K44" s="232" t="e">
        <f t="shared" si="4"/>
        <v>#VALUE!</v>
      </c>
      <c r="L44" s="233"/>
      <c r="M44" s="217"/>
      <c r="N44" s="217"/>
      <c r="O44" s="217"/>
      <c r="P44" s="217"/>
      <c r="Q44" s="217"/>
    </row>
    <row r="45" spans="1:17" s="199" customFormat="1" ht="32.25" customHeight="1">
      <c r="A45" s="672" t="s">
        <v>260</v>
      </c>
      <c r="B45" s="673"/>
      <c r="C45" s="227" t="s">
        <v>217</v>
      </c>
      <c r="D45" s="228" t="str">
        <f t="shared" si="0"/>
        <v/>
      </c>
      <c r="E45" s="220" t="str">
        <f t="shared" si="3"/>
        <v>gal</v>
      </c>
      <c r="F45" s="229" t="str">
        <f t="shared" si="1"/>
        <v/>
      </c>
      <c r="G45" s="230" t="s">
        <v>24</v>
      </c>
      <c r="H45" s="230" t="s">
        <v>210</v>
      </c>
      <c r="I45" s="229">
        <f>SQRT(3)</f>
        <v>1.7320508075688772</v>
      </c>
      <c r="J45" s="224" t="e">
        <f t="shared" si="2"/>
        <v>#VALUE!</v>
      </c>
      <c r="K45" s="232" t="e">
        <f t="shared" si="4"/>
        <v>#VALUE!</v>
      </c>
      <c r="L45" s="233"/>
      <c r="M45" s="217"/>
      <c r="N45" s="217"/>
      <c r="O45" s="217"/>
      <c r="P45" s="217"/>
      <c r="Q45" s="217"/>
    </row>
    <row r="46" spans="1:17" s="199" customFormat="1" ht="16.5">
      <c r="A46" s="672" t="s">
        <v>218</v>
      </c>
      <c r="B46" s="673"/>
      <c r="C46" s="227" t="s">
        <v>240</v>
      </c>
      <c r="D46" s="228" t="str">
        <f t="shared" si="0"/>
        <v/>
      </c>
      <c r="E46" s="220" t="str">
        <f t="shared" si="3"/>
        <v>ºF</v>
      </c>
      <c r="F46" s="229" t="str">
        <f t="shared" si="1"/>
        <v/>
      </c>
      <c r="G46" s="230" t="s">
        <v>24</v>
      </c>
      <c r="H46" s="230" t="s">
        <v>210</v>
      </c>
      <c r="I46" s="229">
        <f>SQRT(3)</f>
        <v>1.7320508075688772</v>
      </c>
      <c r="J46" s="224" t="e">
        <f t="shared" si="2"/>
        <v>#VALUE!</v>
      </c>
      <c r="K46" s="232" t="e">
        <f t="shared" si="4"/>
        <v>#VALUE!</v>
      </c>
      <c r="L46" s="233"/>
      <c r="M46" s="217"/>
      <c r="N46" s="217"/>
      <c r="O46" s="217"/>
      <c r="P46" s="217"/>
      <c r="Q46" s="217"/>
    </row>
    <row r="47" spans="1:17" s="199" customFormat="1" ht="15">
      <c r="A47" s="187"/>
      <c r="B47" s="187"/>
      <c r="C47" s="187"/>
      <c r="D47" s="187"/>
      <c r="E47" s="234"/>
      <c r="F47" s="234"/>
      <c r="G47" s="234"/>
      <c r="H47" s="234"/>
      <c r="I47" s="234"/>
    </row>
    <row r="48" spans="1:17" s="217" customFormat="1" ht="18.75" thickBot="1">
      <c r="A48" s="209" t="s">
        <v>219</v>
      </c>
      <c r="B48" s="209"/>
      <c r="C48" s="209"/>
      <c r="D48" s="209"/>
      <c r="E48" s="209"/>
      <c r="F48" s="209"/>
      <c r="G48" s="209"/>
      <c r="H48" s="209"/>
      <c r="I48" s="209"/>
      <c r="J48" s="209"/>
      <c r="K48" s="209"/>
      <c r="L48" s="209"/>
      <c r="M48" s="209"/>
      <c r="N48" s="209"/>
      <c r="O48" s="210"/>
      <c r="P48" s="210"/>
      <c r="Q48" s="210"/>
    </row>
    <row r="49" spans="1:14" s="217" customFormat="1" ht="15">
      <c r="A49" s="676"/>
      <c r="B49" s="678"/>
      <c r="C49" s="235" t="str">
        <f>"u("&amp;A53&amp;")"</f>
        <v>u(VStrefS)</v>
      </c>
      <c r="D49" s="235" t="str">
        <f>"u("&amp;A54&amp;")"</f>
        <v>u(Δ (sp))</v>
      </c>
      <c r="E49" s="236" t="str">
        <f>"u("&amp;A55&amp;")"</f>
        <v>u(α)</v>
      </c>
      <c r="F49" s="235" t="str">
        <f>"u("&amp;A56&amp;")"</f>
        <v>u(β)</v>
      </c>
      <c r="G49" s="235" t="str">
        <f>"u("&amp;A57&amp;")"</f>
        <v>u(tS)</v>
      </c>
      <c r="H49" s="235" t="str">
        <f>"u("&amp;A58&amp;")"</f>
        <v>u(tX)</v>
      </c>
      <c r="I49" s="235" t="str">
        <f>"u("&amp;A59&amp;")"</f>
        <v>u(ρwS)</v>
      </c>
      <c r="J49" s="235" t="str">
        <f>"u("&amp;A60&amp;")"</f>
        <v>u(ρwX)</v>
      </c>
      <c r="K49" s="235" t="str">
        <f>"u("&amp;A61&amp;")"</f>
        <v>u(Sr)</v>
      </c>
      <c r="L49" s="236" t="str">
        <f>"u("&amp;A62&amp;")"</f>
        <v>u(trefX)</v>
      </c>
      <c r="M49" s="668"/>
      <c r="N49" s="668"/>
    </row>
    <row r="50" spans="1:14" s="217" customFormat="1" ht="16.5" customHeight="1">
      <c r="A50" s="676"/>
      <c r="B50" s="678"/>
      <c r="C50" s="237" t="e">
        <f>J37</f>
        <v>#VALUE!</v>
      </c>
      <c r="D50" s="237" t="e">
        <f>J38</f>
        <v>#VALUE!</v>
      </c>
      <c r="E50" s="237" t="e">
        <f>J39</f>
        <v>#VALUE!</v>
      </c>
      <c r="F50" s="237" t="e">
        <f>J40</f>
        <v>#VALUE!</v>
      </c>
      <c r="G50" s="237" t="e">
        <f>J41</f>
        <v>#VALUE!</v>
      </c>
      <c r="H50" s="237" t="e">
        <f>J42</f>
        <v>#VALUE!</v>
      </c>
      <c r="I50" s="237" t="e">
        <f>J43</f>
        <v>#VALUE!</v>
      </c>
      <c r="J50" s="237" t="e">
        <f>J44</f>
        <v>#VALUE!</v>
      </c>
      <c r="K50" s="237" t="e">
        <f>J45</f>
        <v>#VALUE!</v>
      </c>
      <c r="L50" s="237" t="e">
        <f>J46</f>
        <v>#VALUE!</v>
      </c>
      <c r="M50" s="668"/>
      <c r="N50" s="668"/>
    </row>
    <row r="51" spans="1:14" s="217" customFormat="1" ht="16.5" customHeight="1">
      <c r="A51" s="677"/>
      <c r="B51" s="238" t="s">
        <v>204</v>
      </c>
      <c r="C51" s="239"/>
      <c r="D51" s="239"/>
      <c r="E51" s="239"/>
      <c r="F51" s="239"/>
      <c r="G51" s="239"/>
      <c r="H51" s="239"/>
      <c r="I51" s="239"/>
      <c r="J51" s="239"/>
      <c r="K51" s="240"/>
      <c r="L51" s="240"/>
      <c r="M51" s="668"/>
      <c r="N51" s="668"/>
    </row>
    <row r="52" spans="1:14" s="217" customFormat="1" ht="49.5">
      <c r="A52" s="241" t="s">
        <v>220</v>
      </c>
      <c r="B52" s="242" t="s">
        <v>200</v>
      </c>
      <c r="C52" s="681"/>
      <c r="D52" s="681"/>
      <c r="E52" s="681"/>
      <c r="F52" s="681"/>
      <c r="G52" s="681"/>
      <c r="H52" s="681"/>
      <c r="I52" s="681"/>
      <c r="J52" s="681"/>
      <c r="K52" s="681"/>
      <c r="L52" s="682"/>
      <c r="M52" s="671"/>
      <c r="N52" s="668"/>
    </row>
    <row r="53" spans="1:14" s="217" customFormat="1" ht="16.5">
      <c r="A53" s="227" t="s">
        <v>234</v>
      </c>
      <c r="B53" s="243" t="str">
        <f t="shared" ref="B53:B62" si="5">D37</f>
        <v/>
      </c>
      <c r="C53" s="244" t="e">
        <f>B53+C50</f>
        <v>#VALUE!</v>
      </c>
      <c r="D53" s="245" t="str">
        <f>B53</f>
        <v/>
      </c>
      <c r="E53" s="245" t="str">
        <f>B53</f>
        <v/>
      </c>
      <c r="F53" s="245" t="str">
        <f>B53</f>
        <v/>
      </c>
      <c r="G53" s="245" t="str">
        <f>B53</f>
        <v/>
      </c>
      <c r="H53" s="245" t="str">
        <f>B53</f>
        <v/>
      </c>
      <c r="I53" s="245" t="str">
        <f t="shared" ref="I53:I58" si="6">B53</f>
        <v/>
      </c>
      <c r="J53" s="245" t="str">
        <f t="shared" ref="J53:J59" si="7">B53</f>
        <v/>
      </c>
      <c r="K53" s="245" t="str">
        <f t="shared" ref="K53:K60" si="8">B53</f>
        <v/>
      </c>
      <c r="L53" s="245" t="str">
        <f t="shared" ref="L53:L61" si="9">B53</f>
        <v/>
      </c>
      <c r="M53" s="668"/>
      <c r="N53" s="668"/>
    </row>
    <row r="54" spans="1:14" s="217" customFormat="1" ht="16.5">
      <c r="A54" s="227" t="s">
        <v>235</v>
      </c>
      <c r="B54" s="243" t="str">
        <f t="shared" si="5"/>
        <v/>
      </c>
      <c r="C54" s="245" t="str">
        <f t="shared" ref="C54:C62" si="10">B54</f>
        <v/>
      </c>
      <c r="D54" s="244" t="e">
        <f>B54+D50</f>
        <v>#VALUE!</v>
      </c>
      <c r="E54" s="246" t="str">
        <f>B54</f>
        <v/>
      </c>
      <c r="F54" s="245" t="str">
        <f>B54</f>
        <v/>
      </c>
      <c r="G54" s="245" t="str">
        <f>B54</f>
        <v/>
      </c>
      <c r="H54" s="245" t="str">
        <f>B54</f>
        <v/>
      </c>
      <c r="I54" s="245" t="str">
        <f t="shared" si="6"/>
        <v/>
      </c>
      <c r="J54" s="245" t="str">
        <f t="shared" si="7"/>
        <v/>
      </c>
      <c r="K54" s="245" t="str">
        <f t="shared" si="8"/>
        <v/>
      </c>
      <c r="L54" s="245" t="str">
        <f t="shared" si="9"/>
        <v/>
      </c>
      <c r="M54" s="668"/>
      <c r="N54" s="668"/>
    </row>
    <row r="55" spans="1:14" s="217" customFormat="1" ht="15">
      <c r="A55" s="227" t="s">
        <v>209</v>
      </c>
      <c r="B55" s="243" t="str">
        <f t="shared" si="5"/>
        <v/>
      </c>
      <c r="C55" s="247" t="str">
        <f t="shared" si="10"/>
        <v/>
      </c>
      <c r="D55" s="246" t="str">
        <f t="shared" ref="D55:D62" si="11">B55</f>
        <v/>
      </c>
      <c r="E55" s="244" t="e">
        <f>B55+E50</f>
        <v>#VALUE!</v>
      </c>
      <c r="F55" s="245" t="str">
        <f>B55</f>
        <v/>
      </c>
      <c r="G55" s="245" t="str">
        <f>B55</f>
        <v/>
      </c>
      <c r="H55" s="245" t="str">
        <f>B55</f>
        <v/>
      </c>
      <c r="I55" s="245" t="str">
        <f t="shared" si="6"/>
        <v/>
      </c>
      <c r="J55" s="245" t="str">
        <f t="shared" si="7"/>
        <v/>
      </c>
      <c r="K55" s="245" t="str">
        <f t="shared" si="8"/>
        <v/>
      </c>
      <c r="L55" s="245" t="str">
        <f t="shared" si="9"/>
        <v/>
      </c>
      <c r="M55" s="668"/>
      <c r="N55" s="668"/>
    </row>
    <row r="56" spans="1:14" s="217" customFormat="1" ht="15">
      <c r="A56" s="227" t="s">
        <v>212</v>
      </c>
      <c r="B56" s="243" t="str">
        <f t="shared" si="5"/>
        <v/>
      </c>
      <c r="C56" s="247" t="str">
        <f t="shared" si="10"/>
        <v/>
      </c>
      <c r="D56" s="247" t="str">
        <f t="shared" si="11"/>
        <v/>
      </c>
      <c r="E56" s="247" t="str">
        <f t="shared" ref="E56:E62" si="12">B56</f>
        <v/>
      </c>
      <c r="F56" s="244" t="e">
        <f>B56+F50</f>
        <v>#VALUE!</v>
      </c>
      <c r="G56" s="246" t="str">
        <f>B56</f>
        <v/>
      </c>
      <c r="H56" s="246" t="str">
        <f>B56</f>
        <v/>
      </c>
      <c r="I56" s="246" t="str">
        <f t="shared" si="6"/>
        <v/>
      </c>
      <c r="J56" s="246" t="str">
        <f t="shared" si="7"/>
        <v/>
      </c>
      <c r="K56" s="245" t="str">
        <f t="shared" si="8"/>
        <v/>
      </c>
      <c r="L56" s="245" t="str">
        <f t="shared" si="9"/>
        <v/>
      </c>
      <c r="M56" s="668"/>
      <c r="N56" s="668"/>
    </row>
    <row r="57" spans="1:14" s="217" customFormat="1" ht="16.5">
      <c r="A57" s="227" t="s">
        <v>236</v>
      </c>
      <c r="B57" s="243" t="str">
        <f t="shared" si="5"/>
        <v/>
      </c>
      <c r="C57" s="247" t="str">
        <f t="shared" si="10"/>
        <v/>
      </c>
      <c r="D57" s="247" t="str">
        <f t="shared" si="11"/>
        <v/>
      </c>
      <c r="E57" s="247" t="str">
        <f t="shared" si="12"/>
        <v/>
      </c>
      <c r="F57" s="246" t="str">
        <f t="shared" ref="F57:F62" si="13">B57</f>
        <v/>
      </c>
      <c r="G57" s="244" t="e">
        <f>B57+G50</f>
        <v>#VALUE!</v>
      </c>
      <c r="H57" s="246" t="str">
        <f>B57</f>
        <v/>
      </c>
      <c r="I57" s="245" t="str">
        <f t="shared" si="6"/>
        <v/>
      </c>
      <c r="J57" s="246" t="str">
        <f t="shared" si="7"/>
        <v/>
      </c>
      <c r="K57" s="245" t="str">
        <f t="shared" si="8"/>
        <v/>
      </c>
      <c r="L57" s="245" t="str">
        <f t="shared" si="9"/>
        <v/>
      </c>
      <c r="M57" s="668"/>
      <c r="N57" s="668"/>
    </row>
    <row r="58" spans="1:14" s="217" customFormat="1" ht="16.5">
      <c r="A58" s="227" t="s">
        <v>237</v>
      </c>
      <c r="B58" s="243" t="str">
        <f t="shared" si="5"/>
        <v/>
      </c>
      <c r="C58" s="247" t="str">
        <f t="shared" si="10"/>
        <v/>
      </c>
      <c r="D58" s="247" t="str">
        <f t="shared" si="11"/>
        <v/>
      </c>
      <c r="E58" s="247" t="str">
        <f t="shared" si="12"/>
        <v/>
      </c>
      <c r="F58" s="246" t="str">
        <f t="shared" si="13"/>
        <v/>
      </c>
      <c r="G58" s="246" t="str">
        <f>B58</f>
        <v/>
      </c>
      <c r="H58" s="244" t="e">
        <f>B58+H50</f>
        <v>#VALUE!</v>
      </c>
      <c r="I58" s="245" t="str">
        <f t="shared" si="6"/>
        <v/>
      </c>
      <c r="J58" s="246" t="str">
        <f t="shared" si="7"/>
        <v/>
      </c>
      <c r="K58" s="245" t="str">
        <f t="shared" si="8"/>
        <v/>
      </c>
      <c r="L58" s="245" t="str">
        <f t="shared" si="9"/>
        <v/>
      </c>
      <c r="M58" s="668"/>
      <c r="N58" s="668"/>
    </row>
    <row r="59" spans="1:14" s="217" customFormat="1" ht="16.5">
      <c r="A59" s="227" t="s">
        <v>238</v>
      </c>
      <c r="B59" s="243" t="str">
        <f t="shared" si="5"/>
        <v/>
      </c>
      <c r="C59" s="247" t="str">
        <f t="shared" si="10"/>
        <v/>
      </c>
      <c r="D59" s="247" t="str">
        <f t="shared" si="11"/>
        <v/>
      </c>
      <c r="E59" s="247" t="str">
        <f t="shared" si="12"/>
        <v/>
      </c>
      <c r="F59" s="246" t="str">
        <f t="shared" si="13"/>
        <v/>
      </c>
      <c r="G59" s="247" t="str">
        <f>B59</f>
        <v/>
      </c>
      <c r="H59" s="247" t="str">
        <f>B59</f>
        <v/>
      </c>
      <c r="I59" s="244" t="e">
        <f>B59+I50</f>
        <v>#VALUE!</v>
      </c>
      <c r="J59" s="246" t="str">
        <f t="shared" si="7"/>
        <v/>
      </c>
      <c r="K59" s="245" t="str">
        <f t="shared" si="8"/>
        <v/>
      </c>
      <c r="L59" s="245" t="str">
        <f t="shared" si="9"/>
        <v/>
      </c>
      <c r="M59" s="668"/>
      <c r="N59" s="668"/>
    </row>
    <row r="60" spans="1:14" s="217" customFormat="1" ht="16.5">
      <c r="A60" s="227" t="s">
        <v>239</v>
      </c>
      <c r="B60" s="243" t="str">
        <f t="shared" si="5"/>
        <v/>
      </c>
      <c r="C60" s="247" t="str">
        <f t="shared" si="10"/>
        <v/>
      </c>
      <c r="D60" s="247" t="str">
        <f t="shared" si="11"/>
        <v/>
      </c>
      <c r="E60" s="247" t="str">
        <f t="shared" si="12"/>
        <v/>
      </c>
      <c r="F60" s="246" t="str">
        <f t="shared" si="13"/>
        <v/>
      </c>
      <c r="G60" s="246" t="str">
        <f>B60</f>
        <v/>
      </c>
      <c r="H60" s="246" t="str">
        <f>B60</f>
        <v/>
      </c>
      <c r="I60" s="246" t="str">
        <f>B60</f>
        <v/>
      </c>
      <c r="J60" s="244" t="e">
        <f>B60+J50</f>
        <v>#VALUE!</v>
      </c>
      <c r="K60" s="245" t="str">
        <f t="shared" si="8"/>
        <v/>
      </c>
      <c r="L60" s="245" t="str">
        <f t="shared" si="9"/>
        <v/>
      </c>
      <c r="M60" s="668"/>
      <c r="N60" s="668"/>
    </row>
    <row r="61" spans="1:14" s="217" customFormat="1" ht="15">
      <c r="A61" s="227" t="s">
        <v>217</v>
      </c>
      <c r="B61" s="243" t="str">
        <f t="shared" si="5"/>
        <v/>
      </c>
      <c r="C61" s="247" t="str">
        <f t="shared" si="10"/>
        <v/>
      </c>
      <c r="D61" s="247" t="str">
        <f t="shared" si="11"/>
        <v/>
      </c>
      <c r="E61" s="247" t="str">
        <f t="shared" si="12"/>
        <v/>
      </c>
      <c r="F61" s="247" t="str">
        <f t="shared" si="13"/>
        <v/>
      </c>
      <c r="G61" s="247" t="str">
        <f>B61</f>
        <v/>
      </c>
      <c r="H61" s="247" t="str">
        <f>B61</f>
        <v/>
      </c>
      <c r="I61" s="247" t="str">
        <f>B61</f>
        <v/>
      </c>
      <c r="J61" s="247" t="str">
        <f>B61</f>
        <v/>
      </c>
      <c r="K61" s="244" t="e">
        <f>B61+K50</f>
        <v>#VALUE!</v>
      </c>
      <c r="L61" s="245" t="str">
        <f t="shared" si="9"/>
        <v/>
      </c>
      <c r="M61" s="668"/>
      <c r="N61" s="668"/>
    </row>
    <row r="62" spans="1:14" s="217" customFormat="1" ht="16.5">
      <c r="A62" s="227" t="s">
        <v>240</v>
      </c>
      <c r="B62" s="243" t="str">
        <f t="shared" si="5"/>
        <v/>
      </c>
      <c r="C62" s="247" t="str">
        <f t="shared" si="10"/>
        <v/>
      </c>
      <c r="D62" s="247" t="str">
        <f t="shared" si="11"/>
        <v/>
      </c>
      <c r="E62" s="247" t="str">
        <f t="shared" si="12"/>
        <v/>
      </c>
      <c r="F62" s="247" t="str">
        <f t="shared" si="13"/>
        <v/>
      </c>
      <c r="G62" s="247" t="str">
        <f>B62</f>
        <v/>
      </c>
      <c r="H62" s="247" t="str">
        <f>B62</f>
        <v/>
      </c>
      <c r="I62" s="247" t="str">
        <f>B62</f>
        <v/>
      </c>
      <c r="J62" s="247" t="str">
        <f>B62</f>
        <v/>
      </c>
      <c r="K62" s="247" t="str">
        <f>B62</f>
        <v/>
      </c>
      <c r="L62" s="248" t="e">
        <f>B62+L50</f>
        <v>#VALUE!</v>
      </c>
      <c r="M62" s="668"/>
      <c r="N62" s="668"/>
    </row>
    <row r="63" spans="1:14" s="217" customFormat="1" ht="15">
      <c r="A63" s="249" t="s">
        <v>221</v>
      </c>
      <c r="B63" s="250" t="e">
        <f t="shared" ref="B63:L63" si="14">(B59*((B53+B54)*(1+B55*(B57-B62))))/(B60*(1+B56*(B58-B62)))-B61</f>
        <v>#VALUE!</v>
      </c>
      <c r="C63" s="250" t="e">
        <f t="shared" si="14"/>
        <v>#VALUE!</v>
      </c>
      <c r="D63" s="250" t="e">
        <f t="shared" si="14"/>
        <v>#VALUE!</v>
      </c>
      <c r="E63" s="250" t="e">
        <f t="shared" si="14"/>
        <v>#VALUE!</v>
      </c>
      <c r="F63" s="250" t="e">
        <f t="shared" si="14"/>
        <v>#VALUE!</v>
      </c>
      <c r="G63" s="250" t="e">
        <f t="shared" si="14"/>
        <v>#VALUE!</v>
      </c>
      <c r="H63" s="250" t="e">
        <f t="shared" si="14"/>
        <v>#VALUE!</v>
      </c>
      <c r="I63" s="250" t="e">
        <f t="shared" si="14"/>
        <v>#VALUE!</v>
      </c>
      <c r="J63" s="250" t="e">
        <f t="shared" si="14"/>
        <v>#VALUE!</v>
      </c>
      <c r="K63" s="250" t="e">
        <f t="shared" si="14"/>
        <v>#VALUE!</v>
      </c>
      <c r="L63" s="250" t="e">
        <f t="shared" si="14"/>
        <v>#VALUE!</v>
      </c>
      <c r="M63" s="668"/>
      <c r="N63" s="668"/>
    </row>
    <row r="64" spans="1:14" s="217" customFormat="1" ht="16.5">
      <c r="A64" s="251"/>
      <c r="B64" s="252"/>
      <c r="C64" s="245" t="e">
        <f>C63-B63</f>
        <v>#VALUE!</v>
      </c>
      <c r="D64" s="245" t="e">
        <f>D63-B63</f>
        <v>#VALUE!</v>
      </c>
      <c r="E64" s="245" t="e">
        <f>E63-B63</f>
        <v>#VALUE!</v>
      </c>
      <c r="F64" s="245" t="e">
        <f>F63-B63</f>
        <v>#VALUE!</v>
      </c>
      <c r="G64" s="245" t="e">
        <f>G63-B63</f>
        <v>#VALUE!</v>
      </c>
      <c r="H64" s="245" t="e">
        <f>H63-B63</f>
        <v>#VALUE!</v>
      </c>
      <c r="I64" s="245" t="e">
        <f>I63-B63</f>
        <v>#VALUE!</v>
      </c>
      <c r="J64" s="245" t="e">
        <f>J63-B63</f>
        <v>#VALUE!</v>
      </c>
      <c r="K64" s="245" t="e">
        <f>K63-B63</f>
        <v>#VALUE!</v>
      </c>
      <c r="L64" s="245" t="e">
        <f>L63-B63</f>
        <v>#VALUE!</v>
      </c>
      <c r="M64" s="253" t="s">
        <v>241</v>
      </c>
      <c r="N64" s="667"/>
    </row>
    <row r="65" spans="1:14" s="217" customFormat="1" ht="17.25">
      <c r="A65" s="254" t="s">
        <v>242</v>
      </c>
      <c r="B65" s="245" t="e">
        <f>SQRT(SUM(C65:L65))</f>
        <v>#VALUE!</v>
      </c>
      <c r="C65" s="245" t="e">
        <f t="shared" ref="C65:L65" si="15">C64^2</f>
        <v>#VALUE!</v>
      </c>
      <c r="D65" s="245" t="e">
        <f t="shared" si="15"/>
        <v>#VALUE!</v>
      </c>
      <c r="E65" s="245" t="e">
        <f t="shared" si="15"/>
        <v>#VALUE!</v>
      </c>
      <c r="F65" s="245" t="e">
        <f t="shared" si="15"/>
        <v>#VALUE!</v>
      </c>
      <c r="G65" s="245" t="e">
        <f t="shared" si="15"/>
        <v>#VALUE!</v>
      </c>
      <c r="H65" s="245" t="e">
        <f t="shared" si="15"/>
        <v>#VALUE!</v>
      </c>
      <c r="I65" s="245" t="e">
        <f t="shared" si="15"/>
        <v>#VALUE!</v>
      </c>
      <c r="J65" s="245" t="e">
        <f t="shared" si="15"/>
        <v>#VALUE!</v>
      </c>
      <c r="K65" s="245" t="e">
        <f t="shared" si="15"/>
        <v>#VALUE!</v>
      </c>
      <c r="L65" s="245" t="e">
        <f t="shared" si="15"/>
        <v>#VALUE!</v>
      </c>
      <c r="M65" s="255" t="s">
        <v>243</v>
      </c>
      <c r="N65" s="667"/>
    </row>
    <row r="66" spans="1:14" s="217" customFormat="1" ht="17.25">
      <c r="A66" s="256" t="s">
        <v>204</v>
      </c>
      <c r="B66" s="257" t="e">
        <f>B65^4/(C64^4/C51+D64^4/D51+E64^4/E51+F64^4/F51+G64^4/G51+H64^4/H51+I64^4/I51+J64^4/J51+K64^4/K51+L64^4/L51)</f>
        <v>#VALUE!</v>
      </c>
      <c r="C66" s="258" t="e">
        <f>C65/B65^2</f>
        <v>#VALUE!</v>
      </c>
      <c r="D66" s="258" t="e">
        <f>D65/B65^2</f>
        <v>#VALUE!</v>
      </c>
      <c r="E66" s="258" t="e">
        <f>E65/B65^2</f>
        <v>#VALUE!</v>
      </c>
      <c r="F66" s="258" t="e">
        <f>F65/B65^2</f>
        <v>#VALUE!</v>
      </c>
      <c r="G66" s="258" t="e">
        <f>G65/B65^2</f>
        <v>#VALUE!</v>
      </c>
      <c r="H66" s="258" t="e">
        <f>H65/B65^2</f>
        <v>#VALUE!</v>
      </c>
      <c r="I66" s="258" t="e">
        <f>I65/B65^2</f>
        <v>#VALUE!</v>
      </c>
      <c r="J66" s="258" t="e">
        <f>J65/B65^2</f>
        <v>#VALUE!</v>
      </c>
      <c r="K66" s="258" t="e">
        <f>K65/B65^2</f>
        <v>#VALUE!</v>
      </c>
      <c r="L66" s="258" t="e">
        <f>L65/B65^2</f>
        <v>#VALUE!</v>
      </c>
      <c r="M66" s="259" t="s">
        <v>244</v>
      </c>
      <c r="N66" s="260" t="e">
        <f>SUM(C66:L66)</f>
        <v>#VALUE!</v>
      </c>
    </row>
    <row r="67" spans="1:14" s="217" customFormat="1" ht="18">
      <c r="A67" s="254" t="s">
        <v>222</v>
      </c>
      <c r="B67" s="245">
        <f>2</f>
        <v>2</v>
      </c>
      <c r="C67" s="261" t="e">
        <f t="shared" ref="C67:L67" si="16">C64/C50</f>
        <v>#VALUE!</v>
      </c>
      <c r="D67" s="261" t="e">
        <f t="shared" si="16"/>
        <v>#VALUE!</v>
      </c>
      <c r="E67" s="261" t="e">
        <f t="shared" si="16"/>
        <v>#VALUE!</v>
      </c>
      <c r="F67" s="261" t="e">
        <f t="shared" si="16"/>
        <v>#VALUE!</v>
      </c>
      <c r="G67" s="261" t="e">
        <f t="shared" si="16"/>
        <v>#VALUE!</v>
      </c>
      <c r="H67" s="261" t="e">
        <f t="shared" si="16"/>
        <v>#VALUE!</v>
      </c>
      <c r="I67" s="261" t="e">
        <f t="shared" si="16"/>
        <v>#VALUE!</v>
      </c>
      <c r="J67" s="261" t="e">
        <f t="shared" si="16"/>
        <v>#VALUE!</v>
      </c>
      <c r="K67" s="261" t="e">
        <f t="shared" si="16"/>
        <v>#VALUE!</v>
      </c>
      <c r="L67" s="262" t="e">
        <f t="shared" si="16"/>
        <v>#VALUE!</v>
      </c>
      <c r="M67" s="263" t="s">
        <v>245</v>
      </c>
      <c r="N67" s="264" t="s">
        <v>246</v>
      </c>
    </row>
    <row r="68" spans="1:14" s="217" customFormat="1" ht="16.5">
      <c r="A68" s="265" t="s">
        <v>223</v>
      </c>
      <c r="B68" s="266" t="e">
        <f>B67*B65</f>
        <v>#VALUE!</v>
      </c>
      <c r="C68" s="267" t="str">
        <f>IF(NomValUnit="Nominal Volume (L)","L","gal")</f>
        <v>gal</v>
      </c>
      <c r="D68" s="268" t="e">
        <f>B68/B63</f>
        <v>#VALUE!</v>
      </c>
      <c r="E68" s="269" t="s">
        <v>247</v>
      </c>
      <c r="F68" s="668"/>
      <c r="G68" s="668"/>
      <c r="H68" s="668"/>
      <c r="I68" s="668"/>
      <c r="J68" s="668"/>
      <c r="K68" s="668"/>
      <c r="L68" s="668"/>
      <c r="M68" s="668"/>
      <c r="N68" s="668"/>
    </row>
    <row r="69" spans="1:14" s="217" customFormat="1" ht="12" customHeight="1">
      <c r="A69" s="270"/>
      <c r="B69" s="270"/>
      <c r="C69" s="270"/>
      <c r="D69" s="270"/>
      <c r="E69" s="270"/>
      <c r="F69" s="270"/>
      <c r="G69" s="270"/>
      <c r="H69" s="270"/>
      <c r="I69" s="270"/>
      <c r="J69" s="270"/>
      <c r="K69" s="270"/>
      <c r="L69" s="270"/>
      <c r="M69" s="270"/>
      <c r="N69" s="270"/>
    </row>
    <row r="70" spans="1:14" s="217" customFormat="1" ht="18.75" thickBot="1">
      <c r="A70" s="209" t="s">
        <v>224</v>
      </c>
      <c r="B70" s="209"/>
      <c r="C70" s="209"/>
      <c r="D70" s="209"/>
      <c r="E70" s="209"/>
      <c r="F70" s="209"/>
      <c r="G70" s="209"/>
      <c r="H70" s="209"/>
      <c r="I70" s="209"/>
      <c r="J70" s="209"/>
      <c r="K70" s="209"/>
      <c r="L70" s="209"/>
      <c r="M70" s="209"/>
      <c r="N70" s="209"/>
    </row>
    <row r="71" spans="1:14" s="217" customFormat="1" ht="18">
      <c r="A71" s="271"/>
      <c r="B71" s="272"/>
      <c r="C71" s="273"/>
      <c r="D71" s="273"/>
      <c r="E71" s="272"/>
      <c r="F71" s="273"/>
      <c r="G71" s="273"/>
      <c r="H71" s="272"/>
      <c r="I71" s="273"/>
      <c r="J71" s="273"/>
      <c r="K71" s="274"/>
    </row>
    <row r="72" spans="1:14" s="217" customFormat="1" ht="18">
      <c r="A72" s="271"/>
      <c r="B72" s="272"/>
      <c r="C72" s="273"/>
      <c r="D72" s="273"/>
      <c r="E72" s="272"/>
      <c r="F72" s="273"/>
      <c r="G72" s="273"/>
      <c r="H72" s="272"/>
      <c r="I72" s="273"/>
      <c r="J72" s="273"/>
      <c r="K72" s="274"/>
    </row>
    <row r="73" spans="1:14" s="217" customFormat="1" ht="18">
      <c r="A73" s="271"/>
      <c r="B73" s="272"/>
      <c r="C73" s="273"/>
      <c r="D73" s="273"/>
      <c r="E73" s="272"/>
      <c r="F73" s="273"/>
      <c r="G73" s="273"/>
      <c r="H73" s="272"/>
      <c r="I73" s="273"/>
      <c r="J73" s="273"/>
      <c r="K73" s="274"/>
    </row>
    <row r="74" spans="1:14" s="217" customFormat="1" ht="18">
      <c r="A74" s="271"/>
      <c r="B74" s="272"/>
      <c r="C74" s="273"/>
      <c r="D74" s="273"/>
      <c r="E74" s="272"/>
      <c r="F74" s="273"/>
      <c r="G74" s="273"/>
      <c r="H74" s="272"/>
      <c r="I74" s="273"/>
      <c r="J74" s="273"/>
      <c r="K74" s="274"/>
    </row>
    <row r="75" spans="1:14" s="217" customFormat="1" ht="18">
      <c r="A75" s="271"/>
      <c r="B75" s="272"/>
      <c r="C75" s="273"/>
      <c r="D75" s="273"/>
      <c r="E75" s="272"/>
      <c r="F75" s="273"/>
      <c r="G75" s="273"/>
      <c r="H75" s="272"/>
      <c r="I75" s="273"/>
      <c r="J75" s="273"/>
      <c r="K75" s="274"/>
    </row>
    <row r="76" spans="1:14" s="217" customFormat="1" ht="18">
      <c r="A76" s="271"/>
      <c r="B76" s="272"/>
      <c r="C76" s="273"/>
      <c r="D76" s="273"/>
      <c r="E76" s="272"/>
      <c r="F76" s="273"/>
      <c r="G76" s="273"/>
      <c r="H76" s="272"/>
      <c r="I76" s="273"/>
      <c r="J76" s="273"/>
      <c r="K76" s="274"/>
    </row>
    <row r="77" spans="1:14" s="217" customFormat="1" ht="18">
      <c r="A77" s="271"/>
      <c r="B77" s="272"/>
      <c r="C77" s="273"/>
      <c r="D77" s="273"/>
      <c r="E77" s="272"/>
      <c r="F77" s="273"/>
      <c r="G77" s="273"/>
      <c r="H77" s="272"/>
      <c r="I77" s="273"/>
      <c r="J77" s="273"/>
      <c r="K77" s="274"/>
    </row>
    <row r="78" spans="1:14" s="217" customFormat="1" ht="18">
      <c r="A78" s="271"/>
      <c r="B78" s="272"/>
      <c r="C78" s="273"/>
      <c r="D78" s="273"/>
      <c r="E78" s="272"/>
      <c r="F78" s="273"/>
      <c r="G78" s="273"/>
      <c r="H78" s="272"/>
      <c r="I78" s="273"/>
      <c r="J78" s="273"/>
      <c r="K78" s="274"/>
    </row>
    <row r="79" spans="1:14" s="217" customFormat="1" ht="18">
      <c r="A79" s="271"/>
      <c r="B79" s="272"/>
      <c r="C79" s="273"/>
      <c r="D79" s="273"/>
      <c r="E79" s="272"/>
      <c r="F79" s="273"/>
      <c r="G79" s="273"/>
      <c r="H79" s="272"/>
      <c r="I79" s="273"/>
      <c r="J79" s="273"/>
      <c r="K79" s="274"/>
    </row>
    <row r="80" spans="1:14" s="217" customFormat="1" ht="18">
      <c r="A80" s="271"/>
      <c r="B80" s="272"/>
      <c r="C80" s="273"/>
      <c r="D80" s="273"/>
      <c r="E80" s="272"/>
      <c r="F80" s="273"/>
      <c r="G80" s="273"/>
      <c r="H80" s="272"/>
      <c r="I80" s="273"/>
      <c r="J80" s="273"/>
      <c r="K80" s="274"/>
    </row>
    <row r="81" spans="1:17" s="217" customFormat="1" ht="18">
      <c r="A81" s="271"/>
      <c r="B81" s="272"/>
      <c r="C81" s="273"/>
      <c r="D81" s="273"/>
      <c r="E81" s="272"/>
      <c r="F81" s="273"/>
      <c r="G81" s="273"/>
      <c r="H81" s="272"/>
      <c r="I81" s="273"/>
      <c r="J81" s="273"/>
      <c r="K81" s="274"/>
    </row>
    <row r="82" spans="1:17" s="217" customFormat="1" ht="18">
      <c r="A82" s="271"/>
      <c r="B82" s="272"/>
      <c r="C82" s="273"/>
      <c r="D82" s="273"/>
      <c r="E82" s="272"/>
      <c r="F82" s="273"/>
      <c r="G82" s="273"/>
      <c r="H82" s="272"/>
      <c r="I82" s="273"/>
      <c r="J82" s="273"/>
      <c r="K82" s="274"/>
    </row>
    <row r="83" spans="1:17" s="217" customFormat="1" ht="18">
      <c r="A83" s="271"/>
      <c r="B83" s="272"/>
      <c r="C83" s="273"/>
      <c r="D83" s="273"/>
      <c r="E83" s="272"/>
      <c r="F83" s="273"/>
      <c r="G83" s="273"/>
      <c r="H83" s="272"/>
      <c r="I83" s="273"/>
      <c r="J83" s="273"/>
      <c r="K83" s="274"/>
    </row>
    <row r="84" spans="1:17" s="217" customFormat="1" ht="18">
      <c r="A84" s="271"/>
      <c r="B84" s="272"/>
      <c r="C84" s="273"/>
      <c r="D84" s="273"/>
      <c r="E84" s="272"/>
      <c r="F84" s="273"/>
      <c r="G84" s="273"/>
      <c r="H84" s="272"/>
      <c r="I84" s="273"/>
      <c r="J84" s="273"/>
      <c r="K84" s="274"/>
    </row>
    <row r="85" spans="1:17" s="217" customFormat="1" ht="18">
      <c r="A85" s="271"/>
      <c r="B85" s="272"/>
      <c r="C85" s="273"/>
      <c r="D85" s="273"/>
      <c r="E85" s="272"/>
      <c r="F85" s="273"/>
      <c r="G85" s="273"/>
      <c r="H85" s="272"/>
      <c r="I85" s="273"/>
      <c r="J85" s="273"/>
      <c r="K85" s="274"/>
    </row>
    <row r="86" spans="1:17" s="217" customFormat="1" ht="18">
      <c r="A86" s="271"/>
      <c r="B86" s="272"/>
      <c r="C86" s="273"/>
      <c r="D86" s="273"/>
      <c r="E86" s="272"/>
      <c r="F86" s="273"/>
      <c r="G86" s="273"/>
      <c r="H86" s="272"/>
      <c r="I86" s="273"/>
      <c r="J86" s="273"/>
      <c r="K86" s="274"/>
    </row>
    <row r="87" spans="1:17" s="199" customFormat="1" ht="12" customHeight="1">
      <c r="A87" s="187"/>
      <c r="B87" s="187"/>
      <c r="C87" s="187"/>
      <c r="D87" s="187"/>
      <c r="E87" s="234"/>
      <c r="F87" s="234"/>
      <c r="G87" s="234"/>
      <c r="H87" s="234"/>
      <c r="I87" s="234"/>
    </row>
    <row r="88" spans="1:17" s="199" customFormat="1" ht="18.75" thickBot="1">
      <c r="A88" s="664" t="s">
        <v>225</v>
      </c>
      <c r="B88" s="664"/>
      <c r="C88" s="664"/>
      <c r="D88" s="664"/>
      <c r="E88" s="664"/>
      <c r="F88" s="664"/>
      <c r="G88" s="664"/>
      <c r="H88" s="664"/>
      <c r="I88" s="664"/>
      <c r="J88" s="664"/>
      <c r="K88" s="664"/>
      <c r="L88" s="664"/>
      <c r="M88" s="664"/>
      <c r="N88" s="664"/>
      <c r="O88"/>
      <c r="P88"/>
      <c r="Q88"/>
    </row>
    <row r="89" spans="1:17" s="199" customFormat="1" ht="16.5" customHeight="1">
      <c r="A89" s="665" t="s">
        <v>226</v>
      </c>
      <c r="B89" s="666"/>
      <c r="C89" s="666"/>
      <c r="D89" s="666"/>
      <c r="E89" s="666"/>
      <c r="F89" s="275" t="str">
        <f>IF(Nom_Val="","",B68)</f>
        <v/>
      </c>
      <c r="G89" s="276" t="str">
        <f>IF(NomValUnit="Nominal Volume (L)","L","gal")</f>
        <v>gal</v>
      </c>
      <c r="H89" s="272"/>
      <c r="I89" s="273"/>
      <c r="J89" s="273"/>
      <c r="K89" s="274"/>
      <c r="L89" s="217"/>
      <c r="M89" s="217"/>
      <c r="N89" s="217"/>
      <c r="O89" s="217"/>
      <c r="P89" s="217"/>
      <c r="Q89" s="217"/>
    </row>
    <row r="90" spans="1:17" s="199" customFormat="1">
      <c r="A90" s="679" t="s">
        <v>227</v>
      </c>
      <c r="B90" s="680"/>
      <c r="C90" s="680"/>
      <c r="D90" s="680"/>
      <c r="E90" s="680"/>
      <c r="F90" s="277">
        <f>IF(NVLAP="",0,NVLAP)</f>
        <v>0</v>
      </c>
      <c r="G90" s="278" t="str">
        <f>IF(NomValUnit="Nominal Volume (L)","L","gal")</f>
        <v>gal</v>
      </c>
      <c r="H90" s="272"/>
      <c r="I90" s="273"/>
      <c r="J90" s="273"/>
      <c r="K90" s="274"/>
      <c r="L90" s="217"/>
      <c r="M90" s="217"/>
      <c r="N90" s="217"/>
      <c r="O90" s="217"/>
      <c r="P90" s="217"/>
      <c r="Q90" s="217"/>
    </row>
    <row r="91" spans="1:17" s="199" customFormat="1">
      <c r="A91" s="662" t="s">
        <v>228</v>
      </c>
      <c r="B91" s="663"/>
      <c r="C91" s="663"/>
      <c r="D91" s="663"/>
      <c r="E91" s="663"/>
      <c r="F91" s="279" t="str">
        <f>IF(F89&lt;F90,F90,F89)</f>
        <v/>
      </c>
      <c r="G91" s="280" t="str">
        <f>IF(NomValUnit="Nominal Volume (L)","L","gal")</f>
        <v>gal</v>
      </c>
      <c r="H91" s="272"/>
      <c r="I91" s="273"/>
      <c r="J91" s="273"/>
      <c r="K91" s="274"/>
      <c r="L91" s="217"/>
      <c r="M91" s="217"/>
      <c r="N91" s="217"/>
      <c r="O91" s="217"/>
      <c r="P91" s="217"/>
      <c r="Q91" s="217"/>
    </row>
    <row r="92" spans="1:17" s="199" customFormat="1" ht="15">
      <c r="A92" s="187"/>
      <c r="B92" s="187"/>
      <c r="C92" s="187"/>
      <c r="D92" s="187"/>
      <c r="E92" s="234"/>
      <c r="F92" s="234"/>
      <c r="G92" s="234"/>
      <c r="H92" s="234"/>
      <c r="I92" s="234"/>
    </row>
    <row r="93" spans="1:17" s="199" customFormat="1" ht="15" hidden="1">
      <c r="A93" s="187"/>
      <c r="B93" s="187"/>
      <c r="C93" s="187"/>
      <c r="D93" s="187"/>
      <c r="E93" s="234"/>
      <c r="F93" s="234"/>
      <c r="G93" s="234"/>
      <c r="H93" s="234"/>
      <c r="I93" s="234"/>
    </row>
    <row r="94" spans="1:17" hidden="1">
      <c r="A94" s="28"/>
      <c r="B94" s="28"/>
      <c r="C94" s="28"/>
      <c r="D94" s="28"/>
      <c r="E94" s="28"/>
      <c r="F94" s="28"/>
      <c r="G94" s="28"/>
      <c r="H94" s="28"/>
    </row>
    <row r="95" spans="1:17" hidden="1">
      <c r="A95" s="28"/>
      <c r="B95" s="28"/>
      <c r="C95" s="28"/>
      <c r="D95" s="28"/>
      <c r="E95" s="28"/>
      <c r="F95" s="28"/>
      <c r="G95" s="28"/>
      <c r="H95" s="28"/>
    </row>
    <row r="96" spans="1:17" hidden="1">
      <c r="A96" s="28"/>
      <c r="B96" s="28"/>
      <c r="C96" s="28"/>
      <c r="D96" s="28"/>
      <c r="E96" s="28"/>
      <c r="F96" s="28"/>
      <c r="G96" s="28"/>
      <c r="H96" s="28"/>
    </row>
    <row r="97" spans="1:8" hidden="1">
      <c r="A97" s="28"/>
      <c r="B97" s="28"/>
      <c r="C97" s="28"/>
      <c r="D97" s="28"/>
      <c r="E97" s="28"/>
      <c r="F97" s="28"/>
      <c r="G97" s="28"/>
      <c r="H97" s="28"/>
    </row>
    <row r="98" spans="1:8" hidden="1">
      <c r="A98" s="28"/>
      <c r="B98" s="28"/>
      <c r="C98" s="28"/>
      <c r="D98" s="28"/>
      <c r="E98" s="28"/>
      <c r="F98" s="28"/>
      <c r="G98" s="28"/>
      <c r="H98" s="28"/>
    </row>
    <row r="99" spans="1:8" hidden="1">
      <c r="A99" s="28"/>
      <c r="B99" s="28"/>
      <c r="C99" s="28"/>
      <c r="D99" s="28"/>
      <c r="E99" s="28"/>
      <c r="F99" s="28"/>
      <c r="G99" s="28"/>
      <c r="H99" s="28"/>
    </row>
    <row r="100" spans="1:8" hidden="1">
      <c r="A100" s="28"/>
      <c r="B100" s="28"/>
      <c r="C100" s="28"/>
      <c r="D100" s="28"/>
      <c r="E100" s="28"/>
      <c r="F100" s="28"/>
      <c r="G100" s="28"/>
      <c r="H100" s="28"/>
    </row>
    <row r="101" spans="1:8" hidden="1">
      <c r="A101" s="28"/>
      <c r="B101" s="28"/>
      <c r="C101" s="28"/>
      <c r="D101" s="28"/>
      <c r="E101" s="28"/>
      <c r="F101" s="28"/>
      <c r="G101" s="28"/>
      <c r="H101" s="28"/>
    </row>
    <row r="102" spans="1:8" hidden="1">
      <c r="A102" s="28"/>
      <c r="B102" s="28"/>
      <c r="C102" s="28"/>
      <c r="D102" s="28"/>
      <c r="E102" s="28"/>
      <c r="F102" s="28"/>
      <c r="G102" s="28"/>
      <c r="H102" s="28"/>
    </row>
    <row r="103" spans="1:8" hidden="1">
      <c r="A103" s="28"/>
      <c r="B103" s="28"/>
      <c r="C103" s="28"/>
      <c r="D103" s="28"/>
      <c r="E103" s="28"/>
      <c r="F103" s="28"/>
      <c r="G103" s="28"/>
      <c r="H103" s="28"/>
    </row>
    <row r="104" spans="1:8" hidden="1">
      <c r="A104" s="28"/>
      <c r="B104" s="28"/>
      <c r="C104" s="28"/>
      <c r="D104" s="28"/>
      <c r="E104" s="28"/>
      <c r="F104" s="28"/>
      <c r="G104" s="28"/>
      <c r="H104" s="28"/>
    </row>
    <row r="105" spans="1:8" hidden="1">
      <c r="A105" s="28"/>
      <c r="B105" s="28"/>
      <c r="C105" s="28"/>
      <c r="D105" s="28"/>
      <c r="E105" s="28"/>
      <c r="F105" s="28"/>
      <c r="G105" s="28"/>
      <c r="H105" s="28"/>
    </row>
    <row r="106" spans="1:8" hidden="1">
      <c r="A106" s="28"/>
      <c r="B106" s="28"/>
      <c r="C106" s="28"/>
      <c r="D106" s="28"/>
      <c r="E106" s="28"/>
      <c r="F106" s="28"/>
      <c r="G106" s="28"/>
      <c r="H106" s="28"/>
    </row>
    <row r="107" spans="1:8" hidden="1">
      <c r="A107" s="28"/>
      <c r="B107" s="28"/>
      <c r="C107" s="28"/>
      <c r="D107" s="28"/>
      <c r="E107" s="28"/>
      <c r="F107" s="28"/>
      <c r="G107" s="28"/>
      <c r="H107" s="28"/>
    </row>
    <row r="108" spans="1:8" hidden="1">
      <c r="A108" s="28"/>
      <c r="B108" s="28"/>
      <c r="C108" s="28"/>
      <c r="D108" s="28"/>
      <c r="E108" s="28"/>
      <c r="F108" s="28"/>
      <c r="G108" s="28"/>
      <c r="H108" s="28"/>
    </row>
    <row r="109" spans="1:8" hidden="1">
      <c r="A109" s="28"/>
      <c r="B109" s="28"/>
      <c r="C109" s="28"/>
      <c r="D109" s="28"/>
      <c r="E109" s="28"/>
      <c r="F109" s="28"/>
      <c r="G109" s="28"/>
      <c r="H109" s="28"/>
    </row>
    <row r="110" spans="1:8" hidden="1">
      <c r="A110" s="28"/>
      <c r="B110" s="28"/>
      <c r="C110" s="28"/>
      <c r="D110" s="28"/>
      <c r="E110" s="28"/>
      <c r="F110" s="28"/>
      <c r="G110" s="28"/>
      <c r="H110" s="28"/>
    </row>
    <row r="111" spans="1:8" hidden="1"/>
    <row r="112" spans="1:8" hidden="1"/>
    <row r="113" spans="1:12" hidden="1"/>
    <row r="114" spans="1:12" hidden="1"/>
    <row r="115" spans="1:12" hidden="1"/>
    <row r="116" spans="1:12" hidden="1"/>
    <row r="117" spans="1:12" hidden="1"/>
    <row r="118" spans="1:12" hidden="1"/>
    <row r="119" spans="1:12" hidden="1"/>
    <row r="120" spans="1:12" hidden="1"/>
    <row r="121" spans="1:12" hidden="1"/>
    <row r="122" spans="1:12" hidden="1">
      <c r="A122" s="29"/>
      <c r="B122" s="30"/>
      <c r="C122" s="31"/>
      <c r="D122" s="32"/>
      <c r="E122" s="32"/>
      <c r="F122" s="31"/>
      <c r="G122" s="32"/>
      <c r="L122" s="33"/>
    </row>
    <row r="123" spans="1:12" hidden="1">
      <c r="G123"/>
      <c r="L123" s="34"/>
    </row>
    <row r="124" spans="1:12" hidden="1">
      <c r="G124"/>
      <c r="L124" s="35"/>
    </row>
    <row r="125" spans="1:12" hidden="1">
      <c r="G125"/>
      <c r="L125" s="35"/>
    </row>
    <row r="126" spans="1:12" hidden="1">
      <c r="G126"/>
      <c r="L126" s="28"/>
    </row>
    <row r="127" spans="1:12" hidden="1">
      <c r="G127"/>
      <c r="L127" s="28"/>
    </row>
    <row r="128" spans="1:12" hidden="1">
      <c r="G128"/>
      <c r="L128" s="28"/>
    </row>
    <row r="129" spans="1:12" hidden="1">
      <c r="G129"/>
      <c r="L129" s="28"/>
    </row>
    <row r="130" spans="1:12" hidden="1">
      <c r="G130"/>
      <c r="L130" s="28"/>
    </row>
    <row r="131" spans="1:12" hidden="1">
      <c r="G131"/>
      <c r="L131" s="28"/>
    </row>
    <row r="132" spans="1:12" hidden="1">
      <c r="G132"/>
      <c r="I132" s="36"/>
      <c r="L132" s="28"/>
    </row>
    <row r="133" spans="1:12" hidden="1">
      <c r="A133" s="37"/>
      <c r="B133" s="37"/>
      <c r="C133" s="37"/>
      <c r="D133" s="37"/>
      <c r="E133" s="37"/>
      <c r="F133" s="37"/>
      <c r="G133" s="37"/>
      <c r="H133" s="37"/>
      <c r="I133" s="36"/>
      <c r="L133" s="38"/>
    </row>
    <row r="134" spans="1:12" hidden="1">
      <c r="A134" s="36"/>
      <c r="B134" s="36"/>
      <c r="C134" s="36"/>
      <c r="D134" s="36"/>
      <c r="E134" s="36"/>
      <c r="F134" s="36"/>
      <c r="G134" s="36"/>
      <c r="H134" s="36"/>
      <c r="I134" s="36"/>
      <c r="L134" s="28"/>
    </row>
    <row r="135" spans="1:12" hidden="1">
      <c r="E135" s="34"/>
      <c r="F135" s="34"/>
      <c r="L135" s="34"/>
    </row>
    <row r="136" spans="1:12" hidden="1">
      <c r="E136" s="34"/>
      <c r="F136" s="34"/>
      <c r="L136" s="34"/>
    </row>
    <row r="137" spans="1:12" hidden="1">
      <c r="A137" s="39"/>
      <c r="D137" s="39"/>
      <c r="E137" s="39"/>
      <c r="F137" s="34"/>
      <c r="L137" s="34"/>
    </row>
    <row r="138" spans="1:12" hidden="1"/>
    <row r="139" spans="1:12" hidden="1"/>
    <row r="140" spans="1:12" hidden="1"/>
    <row r="141" spans="1:12" hidden="1"/>
    <row r="142" spans="1:12" hidden="1"/>
    <row r="143" spans="1:12" hidden="1"/>
    <row r="144" spans="1:12"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sheetData>
  <sheetProtection password="FFED" sheet="1" objects="1" scenarios="1" selectLockedCells="1" selectUnlockedCells="1"/>
  <mergeCells count="52">
    <mergeCell ref="I28:N28"/>
    <mergeCell ref="I26:N26"/>
    <mergeCell ref="I24:N24"/>
    <mergeCell ref="C28:F28"/>
    <mergeCell ref="I25:N25"/>
    <mergeCell ref="G23:N23"/>
    <mergeCell ref="C15:N15"/>
    <mergeCell ref="C16:N16"/>
    <mergeCell ref="C17:N17"/>
    <mergeCell ref="C18:N18"/>
    <mergeCell ref="C19:N19"/>
    <mergeCell ref="C20:N20"/>
    <mergeCell ref="I30:N30"/>
    <mergeCell ref="C12:N12"/>
    <mergeCell ref="C13:N13"/>
    <mergeCell ref="C14:N14"/>
    <mergeCell ref="C27:F27"/>
    <mergeCell ref="A23:F23"/>
    <mergeCell ref="C24:F24"/>
    <mergeCell ref="C25:F25"/>
    <mergeCell ref="I27:N27"/>
    <mergeCell ref="C26:F26"/>
    <mergeCell ref="A46:B46"/>
    <mergeCell ref="C29:F29"/>
    <mergeCell ref="I29:N29"/>
    <mergeCell ref="C32:F32"/>
    <mergeCell ref="I33:N33"/>
    <mergeCell ref="C33:F33"/>
    <mergeCell ref="C30:F30"/>
    <mergeCell ref="C31:F31"/>
    <mergeCell ref="I32:N32"/>
    <mergeCell ref="I31:N31"/>
    <mergeCell ref="A36:B36"/>
    <mergeCell ref="A49:A51"/>
    <mergeCell ref="B49:B50"/>
    <mergeCell ref="A90:E90"/>
    <mergeCell ref="A42:B42"/>
    <mergeCell ref="A38:B38"/>
    <mergeCell ref="A40:B40"/>
    <mergeCell ref="A39:B39"/>
    <mergeCell ref="A41:B41"/>
    <mergeCell ref="C52:L52"/>
    <mergeCell ref="A91:E91"/>
    <mergeCell ref="A88:N88"/>
    <mergeCell ref="A89:E89"/>
    <mergeCell ref="N64:N65"/>
    <mergeCell ref="F68:N68"/>
    <mergeCell ref="A37:B37"/>
    <mergeCell ref="M49:N63"/>
    <mergeCell ref="A43:B43"/>
    <mergeCell ref="A44:B44"/>
    <mergeCell ref="A45:B45"/>
  </mergeCells>
  <phoneticPr fontId="22" type="noConversion"/>
  <printOptions horizontalCentered="1"/>
  <pageMargins left="0.5" right="0.5" top="1.25" bottom="0.75" header="0.75" footer="0.5"/>
  <pageSetup scale="64" orientation="landscape" horizontalDpi="4294967293" r:id="rId1"/>
  <headerFooter scaleWithDoc="0" alignWithMargins="0">
    <oddHeader>&amp;L&amp;"Trebuchet MS,Regular"Calibration of LPG Provers&amp;R&amp;"Trebuchet MS,Regular"WAMRF-014, Rev. 21, 3/26/2010</oddHeader>
    <oddFooter>&amp;L&amp;"Trebuchet MS,Regular"&amp;F&amp;R&amp;"Trebuchet MS,Regular"&amp;A Worksheet Page &amp;P of &amp;N</oddFooter>
  </headerFooter>
  <rowBreaks count="2" manualBreakCount="2">
    <brk id="33" max="13" man="1"/>
    <brk id="69" max="16383" man="1"/>
  </rowBreaks>
  <drawing r:id="rId2"/>
  <legacyDrawing r:id="rId3"/>
  <oleObjects>
    <oleObject progId="Equation.3" shapeId="15361" r:id="rId4"/>
  </oleObjects>
</worksheet>
</file>

<file path=xl/worksheets/sheet11.xml><?xml version="1.0" encoding="utf-8"?>
<worksheet xmlns="http://schemas.openxmlformats.org/spreadsheetml/2006/main" xmlns:r="http://schemas.openxmlformats.org/officeDocument/2006/relationships">
  <sheetPr enableFormatConditionsCalculation="0">
    <tabColor indexed="10"/>
    <pageSetUpPr fitToPage="1"/>
  </sheetPr>
  <dimension ref="A1:G35"/>
  <sheetViews>
    <sheetView showGridLines="0" zoomScale="75" zoomScaleNormal="75" workbookViewId="0"/>
  </sheetViews>
  <sheetFormatPr defaultColWidth="0" defaultRowHeight="12.75" zeroHeight="1"/>
  <cols>
    <col min="1" max="2" width="14.77734375" style="19" customWidth="1"/>
    <col min="3" max="3" width="1.77734375" style="19" customWidth="1"/>
    <col min="4" max="4" width="30.6640625" style="19" customWidth="1"/>
    <col min="5" max="5" width="14.6640625" style="19" customWidth="1"/>
    <col min="6" max="6" width="1.77734375" style="19" customWidth="1"/>
    <col min="7" max="7" width="51.33203125" style="19" customWidth="1"/>
    <col min="8" max="8" width="1.77734375" style="19" customWidth="1"/>
    <col min="9" max="16384" width="0" style="19" hidden="1"/>
  </cols>
  <sheetData>
    <row r="1" spans="1:7" ht="19.5" thickBot="1">
      <c r="A1" s="92" t="s">
        <v>92</v>
      </c>
      <c r="B1" s="93"/>
      <c r="C1" s="93"/>
      <c r="D1" s="93"/>
      <c r="E1" s="93"/>
      <c r="F1" s="93"/>
      <c r="G1" s="94" t="str">
        <f>IF(ISBLANK(RptNo),"","Report Number: "&amp;RptNo)</f>
        <v/>
      </c>
    </row>
    <row r="2" spans="1:7" ht="12" customHeight="1"/>
    <row r="3" spans="1:7" ht="90" customHeight="1">
      <c r="A3" s="704" t="s">
        <v>93</v>
      </c>
      <c r="B3" s="705"/>
      <c r="C3" s="42"/>
      <c r="D3" s="706" t="s">
        <v>153</v>
      </c>
      <c r="E3" s="706"/>
      <c r="F3" s="43"/>
      <c r="G3" s="456" t="s">
        <v>48</v>
      </c>
    </row>
    <row r="4" spans="1:7" ht="18">
      <c r="A4" s="450">
        <v>0</v>
      </c>
      <c r="B4" s="450" t="s">
        <v>27</v>
      </c>
      <c r="D4" s="452" t="s">
        <v>9</v>
      </c>
      <c r="E4" s="453" t="s">
        <v>158</v>
      </c>
      <c r="F4" s="43"/>
      <c r="G4" s="457" t="s">
        <v>139</v>
      </c>
    </row>
    <row r="5" spans="1:7" ht="15">
      <c r="A5" s="450">
        <v>9.9999999999999998E-13</v>
      </c>
      <c r="B5" s="450">
        <v>13</v>
      </c>
      <c r="D5" s="454" t="s">
        <v>34</v>
      </c>
      <c r="E5" s="455">
        <v>1.5999999999999999E-5</v>
      </c>
      <c r="F5" s="44"/>
      <c r="G5" s="457" t="s">
        <v>49</v>
      </c>
    </row>
    <row r="6" spans="1:7" ht="15">
      <c r="A6" s="450">
        <v>9.9999999999999994E-12</v>
      </c>
      <c r="B6" s="450">
        <v>12</v>
      </c>
      <c r="D6" s="454" t="s">
        <v>35</v>
      </c>
      <c r="E6" s="455">
        <v>1.8600000000000001E-5</v>
      </c>
      <c r="F6" s="43"/>
      <c r="G6" s="457" t="s">
        <v>167</v>
      </c>
    </row>
    <row r="7" spans="1:7" ht="15">
      <c r="A7" s="450">
        <v>1E-10</v>
      </c>
      <c r="B7" s="450">
        <v>11</v>
      </c>
      <c r="D7" s="454" t="s">
        <v>33</v>
      </c>
      <c r="E7" s="455">
        <v>2.65E-5</v>
      </c>
      <c r="F7" s="43"/>
      <c r="G7" s="457" t="s">
        <v>168</v>
      </c>
    </row>
    <row r="8" spans="1:7" ht="15">
      <c r="A8" s="450">
        <v>1.0000000000000001E-9</v>
      </c>
      <c r="B8" s="450">
        <v>10</v>
      </c>
      <c r="D8" s="43"/>
      <c r="E8" s="43"/>
      <c r="F8" s="43"/>
      <c r="G8" s="457"/>
    </row>
    <row r="9" spans="1:7" ht="15">
      <c r="A9" s="450">
        <v>1E-8</v>
      </c>
      <c r="B9" s="450">
        <v>9</v>
      </c>
      <c r="D9" s="43"/>
      <c r="E9" s="43"/>
      <c r="F9" s="43"/>
      <c r="G9" s="457" t="s">
        <v>169</v>
      </c>
    </row>
    <row r="10" spans="1:7" ht="15">
      <c r="A10" s="450">
        <v>9.9999999999999995E-8</v>
      </c>
      <c r="B10" s="450">
        <v>8</v>
      </c>
      <c r="D10" s="43"/>
      <c r="E10" s="43"/>
      <c r="F10" s="43"/>
      <c r="G10" s="457" t="s">
        <v>99</v>
      </c>
    </row>
    <row r="11" spans="1:7" ht="15">
      <c r="A11" s="450">
        <v>9.9999999999999995E-7</v>
      </c>
      <c r="B11" s="450">
        <v>7</v>
      </c>
      <c r="D11" s="43"/>
      <c r="E11" s="43"/>
      <c r="F11" s="43"/>
      <c r="G11" s="457" t="s">
        <v>170</v>
      </c>
    </row>
    <row r="12" spans="1:7" ht="15">
      <c r="A12" s="450">
        <v>1.0000000000000001E-5</v>
      </c>
      <c r="B12" s="450">
        <v>6</v>
      </c>
      <c r="D12" s="43"/>
      <c r="E12" s="43"/>
      <c r="F12" s="43"/>
      <c r="G12" s="457" t="s">
        <v>171</v>
      </c>
    </row>
    <row r="13" spans="1:7" ht="15">
      <c r="A13" s="450">
        <v>1E-4</v>
      </c>
      <c r="B13" s="450">
        <v>5</v>
      </c>
      <c r="D13" s="43"/>
      <c r="E13" s="43"/>
      <c r="F13" s="43"/>
      <c r="G13" s="457"/>
    </row>
    <row r="14" spans="1:7" ht="15">
      <c r="A14" s="450">
        <v>1E-3</v>
      </c>
      <c r="B14" s="450">
        <v>4</v>
      </c>
      <c r="D14" s="43"/>
      <c r="E14" s="43"/>
      <c r="F14" s="43"/>
      <c r="G14" s="457" t="s">
        <v>14</v>
      </c>
    </row>
    <row r="15" spans="1:7" ht="15">
      <c r="A15" s="450">
        <v>0.01</v>
      </c>
      <c r="B15" s="450">
        <v>3</v>
      </c>
      <c r="D15" s="43"/>
      <c r="E15" s="43"/>
      <c r="F15" s="43"/>
      <c r="G15" s="457" t="s">
        <v>15</v>
      </c>
    </row>
    <row r="16" spans="1:7" ht="15">
      <c r="A16" s="450">
        <v>0.1</v>
      </c>
      <c r="B16" s="450">
        <v>2</v>
      </c>
      <c r="D16" s="43"/>
      <c r="E16" s="43"/>
      <c r="F16" s="43"/>
      <c r="G16" s="457"/>
    </row>
    <row r="17" spans="1:7" ht="15">
      <c r="A17" s="450">
        <v>1</v>
      </c>
      <c r="B17" s="450">
        <v>1</v>
      </c>
      <c r="D17" s="43"/>
      <c r="E17" s="43"/>
      <c r="F17" s="43"/>
      <c r="G17" s="457" t="s">
        <v>172</v>
      </c>
    </row>
    <row r="18" spans="1:7" ht="15">
      <c r="A18" s="450">
        <v>10</v>
      </c>
      <c r="B18" s="450">
        <v>0</v>
      </c>
      <c r="D18" s="43"/>
      <c r="E18" s="43"/>
      <c r="F18" s="43"/>
      <c r="G18" s="457" t="s">
        <v>173</v>
      </c>
    </row>
    <row r="19" spans="1:7" ht="15">
      <c r="A19" s="450">
        <v>100</v>
      </c>
      <c r="B19" s="450">
        <v>-1</v>
      </c>
      <c r="D19" s="43"/>
      <c r="E19" s="43"/>
      <c r="F19" s="43"/>
      <c r="G19" s="457"/>
    </row>
    <row r="20" spans="1:7" ht="15">
      <c r="A20" s="450">
        <v>1000</v>
      </c>
      <c r="B20" s="450">
        <v>-2</v>
      </c>
      <c r="D20" s="43"/>
      <c r="E20" s="43"/>
      <c r="F20" s="43"/>
      <c r="G20" s="457" t="s">
        <v>262</v>
      </c>
    </row>
    <row r="21" spans="1:7" ht="15">
      <c r="A21" s="450">
        <v>10000</v>
      </c>
      <c r="B21" s="450">
        <v>-3</v>
      </c>
      <c r="D21" s="43"/>
      <c r="E21" s="43"/>
      <c r="F21" s="43"/>
      <c r="G21" s="457" t="s">
        <v>264</v>
      </c>
    </row>
    <row r="22" spans="1:7" ht="15">
      <c r="A22" s="450">
        <v>100000</v>
      </c>
      <c r="B22" s="450">
        <v>-4</v>
      </c>
    </row>
    <row r="23" spans="1:7" ht="15">
      <c r="A23" s="450">
        <v>1000000</v>
      </c>
      <c r="B23" s="450">
        <v>-5</v>
      </c>
    </row>
    <row r="24" spans="1:7" ht="15">
      <c r="A24" s="450">
        <v>10000000</v>
      </c>
      <c r="B24" s="450">
        <v>-6</v>
      </c>
    </row>
    <row r="25" spans="1:7" ht="15">
      <c r="A25" s="450">
        <v>100000000</v>
      </c>
      <c r="B25" s="450">
        <v>-7</v>
      </c>
    </row>
    <row r="26" spans="1:7" ht="15">
      <c r="A26" s="450">
        <v>1000000000</v>
      </c>
      <c r="B26" s="450">
        <v>-8</v>
      </c>
    </row>
    <row r="27" spans="1:7" ht="15">
      <c r="A27" s="450">
        <v>10000000000</v>
      </c>
      <c r="B27" s="450">
        <v>-9</v>
      </c>
    </row>
    <row r="28" spans="1:7" ht="15">
      <c r="A28" s="450">
        <v>100000000000</v>
      </c>
      <c r="B28" s="450">
        <v>-10</v>
      </c>
    </row>
    <row r="29" spans="1:7" ht="15">
      <c r="A29" s="450">
        <v>1000000000000</v>
      </c>
      <c r="B29" s="450">
        <v>-11</v>
      </c>
    </row>
    <row r="30" spans="1:7" ht="15">
      <c r="A30" s="450">
        <v>10000000000000</v>
      </c>
      <c r="B30" s="450">
        <v>-12</v>
      </c>
    </row>
    <row r="31" spans="1:7" ht="15">
      <c r="A31" s="450">
        <v>100000000000000</v>
      </c>
      <c r="B31" s="450">
        <v>-13</v>
      </c>
    </row>
    <row r="32" spans="1:7" ht="15">
      <c r="A32" s="450">
        <v>1000000000000000</v>
      </c>
      <c r="B32" s="451" t="s">
        <v>27</v>
      </c>
    </row>
    <row r="33"/>
    <row r="34" hidden="1"/>
    <row r="35" hidden="1"/>
  </sheetData>
  <sheetProtection password="FFED" sheet="1" objects="1" scenarios="1" selectLockedCells="1" selectUnlockedCells="1"/>
  <mergeCells count="2">
    <mergeCell ref="A3:B3"/>
    <mergeCell ref="D3:E3"/>
  </mergeCells>
  <phoneticPr fontId="19" type="noConversion"/>
  <conditionalFormatting sqref="F5">
    <cfRule type="expression" dxfId="0" priority="1" stopIfTrue="1">
      <formula>$A$61</formula>
    </cfRule>
  </conditionalFormatting>
  <printOptions horizontalCentered="1"/>
  <pageMargins left="0.5" right="0.5" top="1.25" bottom="0.75" header="0.5" footer="0.5"/>
  <pageSetup scale="82" orientation="landscape" r:id="rId1"/>
  <headerFooter alignWithMargins="0">
    <oddHeader>&amp;L&amp;"Trebuchet MS,Regular"Calibration of LPG Provers&amp;R&amp;"Trebuchet MS,Regular"WAMRF-014, Rev. 21, 3/26/2010</oddHeader>
    <oddFooter>&amp;L&amp;"Trebuchet MS,Regular"&amp;F&amp;R&amp;"Trebuchet MS,Regular"&amp;A Worksheet Page &amp;P of &amp;N</oddFooter>
  </headerFooter>
  <colBreaks count="1" manualBreakCount="1">
    <brk id="3" max="1048575" man="1"/>
  </colBreaks>
</worksheet>
</file>

<file path=xl/worksheets/sheet2.xml><?xml version="1.0" encoding="utf-8"?>
<worksheet xmlns="http://schemas.openxmlformats.org/spreadsheetml/2006/main" xmlns:r="http://schemas.openxmlformats.org/officeDocument/2006/relationships">
  <sheetPr>
    <tabColor rgb="FF00B0F0"/>
    <pageSetUpPr autoPageBreaks="0"/>
  </sheetPr>
  <dimension ref="A1:I207"/>
  <sheetViews>
    <sheetView showGridLines="0" showZeros="0" tabSelected="1" showOutlineSymbols="0" workbookViewId="0">
      <selection sqref="A1:B1"/>
    </sheetView>
  </sheetViews>
  <sheetFormatPr defaultColWidth="0" defaultRowHeight="18"/>
  <cols>
    <col min="1" max="1" width="15" style="378" customWidth="1"/>
    <col min="2" max="2" width="60.21875" style="349" customWidth="1"/>
    <col min="3" max="3" width="3.77734375" style="349" customWidth="1"/>
    <col min="4" max="7" width="9.77734375" style="349" hidden="1" customWidth="1"/>
    <col min="8" max="8" width="9.21875" style="349" hidden="1" customWidth="1"/>
    <col min="9" max="9" width="9.21875" style="349" hidden="1"/>
    <col min="10" max="16384" width="8.88671875" style="349" hidden="1"/>
  </cols>
  <sheetData>
    <row r="1" spans="1:7" s="378" customFormat="1" ht="20.25" thickBot="1">
      <c r="A1" s="481" t="s">
        <v>373</v>
      </c>
      <c r="B1" s="481"/>
      <c r="C1" s="383"/>
      <c r="D1" s="383"/>
      <c r="E1" s="383"/>
      <c r="F1" s="383"/>
    </row>
    <row r="2" spans="1:7" s="378" customFormat="1">
      <c r="A2" s="386" t="s">
        <v>372</v>
      </c>
      <c r="B2" s="458" t="s">
        <v>8</v>
      </c>
      <c r="C2" s="383"/>
      <c r="D2" s="383"/>
      <c r="E2" s="383"/>
      <c r="F2" s="383"/>
      <c r="G2" s="379"/>
    </row>
    <row r="3" spans="1:7" s="378" customFormat="1" ht="72">
      <c r="A3" s="460">
        <v>1</v>
      </c>
      <c r="B3" s="461" t="s">
        <v>529</v>
      </c>
      <c r="C3" s="383"/>
      <c r="D3" s="383"/>
      <c r="E3" s="383"/>
      <c r="F3" s="383"/>
      <c r="G3" s="379"/>
    </row>
    <row r="4" spans="1:7" s="378" customFormat="1">
      <c r="A4" s="460">
        <v>2</v>
      </c>
      <c r="B4" s="461" t="s">
        <v>527</v>
      </c>
      <c r="C4" s="383"/>
      <c r="D4" s="383"/>
      <c r="E4" s="383"/>
      <c r="F4" s="383"/>
      <c r="G4" s="379"/>
    </row>
    <row r="5" spans="1:7" s="378" customFormat="1" ht="54">
      <c r="A5" s="460">
        <v>3</v>
      </c>
      <c r="B5" s="461" t="s">
        <v>553</v>
      </c>
      <c r="C5" s="383"/>
      <c r="D5" s="383"/>
      <c r="E5" s="383"/>
      <c r="F5" s="383"/>
      <c r="G5" s="379"/>
    </row>
    <row r="6" spans="1:7" s="378" customFormat="1">
      <c r="A6" s="460">
        <v>4</v>
      </c>
      <c r="B6" s="461" t="s">
        <v>528</v>
      </c>
      <c r="C6" s="383"/>
      <c r="D6" s="383"/>
      <c r="E6" s="383"/>
      <c r="F6" s="383"/>
    </row>
    <row r="7" spans="1:7" s="378" customFormat="1" ht="36">
      <c r="A7" s="460">
        <v>5</v>
      </c>
      <c r="B7" s="461" t="s">
        <v>554</v>
      </c>
      <c r="C7" s="383"/>
      <c r="D7" s="383"/>
      <c r="E7" s="383"/>
      <c r="F7" s="383"/>
      <c r="G7" s="379"/>
    </row>
    <row r="8" spans="1:7" s="378" customFormat="1" ht="54">
      <c r="A8" s="462">
        <v>6</v>
      </c>
      <c r="B8" s="473" t="s">
        <v>555</v>
      </c>
      <c r="C8" s="383"/>
      <c r="D8" s="383"/>
      <c r="E8" s="383"/>
      <c r="F8" s="383"/>
      <c r="G8" s="379"/>
    </row>
    <row r="9" spans="1:7" s="378" customFormat="1" ht="19.5">
      <c r="A9" s="480" t="s">
        <v>371</v>
      </c>
      <c r="B9" s="480"/>
      <c r="C9" s="383"/>
      <c r="D9" s="383"/>
      <c r="E9" s="383"/>
      <c r="F9" s="383"/>
      <c r="G9" s="379"/>
    </row>
    <row r="10" spans="1:7" s="378" customFormat="1">
      <c r="A10" s="458" t="s">
        <v>319</v>
      </c>
      <c r="B10" s="458" t="s">
        <v>8</v>
      </c>
      <c r="C10" s="383"/>
      <c r="D10" s="383"/>
      <c r="E10" s="383"/>
      <c r="F10" s="383"/>
      <c r="G10" s="379"/>
    </row>
    <row r="11" spans="1:7" s="378" customFormat="1">
      <c r="A11" s="459" t="s">
        <v>378</v>
      </c>
      <c r="B11" s="385" t="s">
        <v>379</v>
      </c>
      <c r="C11" s="383"/>
      <c r="D11" s="383"/>
      <c r="E11" s="383"/>
      <c r="F11" s="383"/>
      <c r="G11" s="379"/>
    </row>
    <row r="12" spans="1:7" s="378" customFormat="1">
      <c r="A12" s="459" t="s">
        <v>380</v>
      </c>
      <c r="B12" s="385" t="s">
        <v>381</v>
      </c>
      <c r="C12" s="383"/>
      <c r="D12" s="383"/>
      <c r="E12" s="383"/>
      <c r="F12" s="383"/>
      <c r="G12" s="379"/>
    </row>
    <row r="13" spans="1:7" s="378" customFormat="1">
      <c r="A13" s="459" t="s">
        <v>382</v>
      </c>
      <c r="B13" s="385" t="s">
        <v>383</v>
      </c>
      <c r="C13" s="383"/>
      <c r="D13" s="383"/>
      <c r="E13" s="383"/>
      <c r="F13" s="383"/>
      <c r="G13" s="379"/>
    </row>
    <row r="14" spans="1:7" s="378" customFormat="1">
      <c r="A14" s="459" t="s">
        <v>384</v>
      </c>
      <c r="B14" s="385" t="s">
        <v>385</v>
      </c>
      <c r="C14" s="383"/>
      <c r="D14" s="383"/>
      <c r="E14" s="383"/>
      <c r="F14" s="383"/>
      <c r="G14" s="379"/>
    </row>
    <row r="15" spans="1:7" s="378" customFormat="1">
      <c r="A15" s="459" t="s">
        <v>386</v>
      </c>
      <c r="B15" s="385" t="s">
        <v>387</v>
      </c>
      <c r="C15" s="383"/>
      <c r="D15" s="383"/>
      <c r="E15" s="383"/>
      <c r="F15" s="383"/>
      <c r="G15" s="379"/>
    </row>
    <row r="16" spans="1:7" s="378" customFormat="1">
      <c r="A16" s="459" t="s">
        <v>388</v>
      </c>
      <c r="B16" s="385" t="s">
        <v>389</v>
      </c>
      <c r="C16" s="383"/>
      <c r="D16" s="383"/>
      <c r="E16" s="383"/>
      <c r="F16" s="383"/>
      <c r="G16" s="379"/>
    </row>
    <row r="17" spans="1:7" s="378" customFormat="1">
      <c r="A17" s="459" t="s">
        <v>390</v>
      </c>
      <c r="B17" s="385" t="s">
        <v>391</v>
      </c>
      <c r="C17" s="383"/>
      <c r="D17" s="383"/>
      <c r="E17" s="383"/>
      <c r="F17" s="383"/>
      <c r="G17" s="379"/>
    </row>
    <row r="18" spans="1:7" s="378" customFormat="1">
      <c r="A18" s="459" t="s">
        <v>392</v>
      </c>
      <c r="B18" s="385" t="s">
        <v>393</v>
      </c>
      <c r="C18" s="383"/>
      <c r="D18" s="383"/>
      <c r="E18" s="383"/>
      <c r="F18" s="383"/>
      <c r="G18" s="379"/>
    </row>
    <row r="19" spans="1:7" s="378" customFormat="1">
      <c r="A19" s="459" t="s">
        <v>394</v>
      </c>
      <c r="B19" s="385" t="s">
        <v>395</v>
      </c>
      <c r="C19" s="383"/>
      <c r="D19" s="383"/>
      <c r="E19" s="383"/>
      <c r="F19" s="383"/>
      <c r="G19" s="379"/>
    </row>
    <row r="20" spans="1:7" s="378" customFormat="1">
      <c r="A20" s="459" t="s">
        <v>396</v>
      </c>
      <c r="B20" s="385" t="s">
        <v>536</v>
      </c>
      <c r="C20" s="383"/>
      <c r="D20" s="383"/>
      <c r="E20" s="383"/>
      <c r="F20" s="383"/>
      <c r="G20" s="379"/>
    </row>
    <row r="21" spans="1:7" s="378" customFormat="1">
      <c r="A21" s="459" t="s">
        <v>397</v>
      </c>
      <c r="B21" s="385" t="s">
        <v>537</v>
      </c>
      <c r="C21" s="383"/>
      <c r="D21" s="383"/>
      <c r="E21" s="383"/>
      <c r="F21" s="383"/>
      <c r="G21" s="379"/>
    </row>
    <row r="22" spans="1:7" s="378" customFormat="1">
      <c r="A22" s="459" t="s">
        <v>398</v>
      </c>
      <c r="B22" s="385" t="s">
        <v>399</v>
      </c>
      <c r="C22" s="383"/>
      <c r="D22" s="383"/>
      <c r="E22" s="383"/>
      <c r="F22" s="383"/>
      <c r="G22" s="379"/>
    </row>
    <row r="23" spans="1:7" s="378" customFormat="1">
      <c r="A23" s="459" t="s">
        <v>400</v>
      </c>
      <c r="B23" s="385" t="s">
        <v>401</v>
      </c>
      <c r="C23" s="383"/>
      <c r="D23" s="383"/>
      <c r="E23" s="383"/>
      <c r="F23" s="383"/>
      <c r="G23" s="379"/>
    </row>
    <row r="24" spans="1:7" s="378" customFormat="1">
      <c r="A24" s="459" t="s">
        <v>402</v>
      </c>
      <c r="B24" s="385" t="s">
        <v>403</v>
      </c>
      <c r="C24" s="383"/>
      <c r="D24" s="383"/>
      <c r="E24" s="383"/>
      <c r="F24" s="383"/>
      <c r="G24" s="379"/>
    </row>
    <row r="25" spans="1:7" s="378" customFormat="1">
      <c r="A25" s="459" t="s">
        <v>24</v>
      </c>
      <c r="B25" s="385" t="s">
        <v>404</v>
      </c>
      <c r="C25" s="383"/>
      <c r="D25" s="383"/>
      <c r="E25" s="383"/>
      <c r="F25" s="383"/>
      <c r="G25" s="379"/>
    </row>
    <row r="26" spans="1:7" s="378" customFormat="1">
      <c r="A26" s="459" t="s">
        <v>405</v>
      </c>
      <c r="B26" s="385" t="s">
        <v>538</v>
      </c>
      <c r="C26" s="383"/>
      <c r="D26" s="383"/>
      <c r="E26" s="383"/>
      <c r="F26" s="383"/>
      <c r="G26" s="379"/>
    </row>
    <row r="27" spans="1:7" s="378" customFormat="1">
      <c r="A27" s="459" t="s">
        <v>406</v>
      </c>
      <c r="B27" s="385" t="s">
        <v>407</v>
      </c>
      <c r="C27" s="383"/>
      <c r="D27" s="383"/>
      <c r="E27" s="383"/>
      <c r="F27" s="383"/>
      <c r="G27" s="379"/>
    </row>
    <row r="28" spans="1:7" s="378" customFormat="1">
      <c r="A28" s="459" t="s">
        <v>408</v>
      </c>
      <c r="B28" s="385" t="s">
        <v>409</v>
      </c>
      <c r="C28" s="383"/>
      <c r="D28" s="383"/>
      <c r="E28" s="383"/>
      <c r="F28" s="383"/>
      <c r="G28" s="379"/>
    </row>
    <row r="29" spans="1:7" s="378" customFormat="1">
      <c r="A29" s="459" t="s">
        <v>410</v>
      </c>
      <c r="B29" s="385" t="s">
        <v>411</v>
      </c>
      <c r="C29" s="383"/>
      <c r="D29" s="383"/>
      <c r="E29" s="383"/>
      <c r="F29" s="383"/>
      <c r="G29" s="379"/>
    </row>
    <row r="30" spans="1:7" s="378" customFormat="1">
      <c r="A30" s="459" t="s">
        <v>412</v>
      </c>
      <c r="B30" s="385" t="s">
        <v>539</v>
      </c>
      <c r="C30" s="383"/>
      <c r="D30" s="383"/>
      <c r="E30" s="383"/>
      <c r="F30" s="383"/>
      <c r="G30" s="379"/>
    </row>
    <row r="31" spans="1:7" s="378" customFormat="1">
      <c r="A31" s="459" t="s">
        <v>8</v>
      </c>
      <c r="B31" s="385" t="s">
        <v>413</v>
      </c>
      <c r="C31" s="383"/>
      <c r="D31" s="383"/>
      <c r="E31" s="383"/>
      <c r="F31" s="383"/>
      <c r="G31" s="379"/>
    </row>
    <row r="32" spans="1:7" s="378" customFormat="1">
      <c r="A32" s="459" t="s">
        <v>414</v>
      </c>
      <c r="B32" s="385" t="s">
        <v>415</v>
      </c>
      <c r="C32" s="383"/>
      <c r="D32" s="383"/>
      <c r="E32" s="383"/>
      <c r="F32" s="383"/>
      <c r="G32" s="379"/>
    </row>
    <row r="33" spans="1:7" s="378" customFormat="1">
      <c r="A33" s="459" t="s">
        <v>416</v>
      </c>
      <c r="B33" s="385" t="s">
        <v>417</v>
      </c>
      <c r="C33" s="383"/>
      <c r="D33" s="383"/>
      <c r="E33" s="383"/>
      <c r="F33" s="383"/>
      <c r="G33" s="379"/>
    </row>
    <row r="34" spans="1:7" s="378" customFormat="1">
      <c r="A34" s="459" t="s">
        <v>418</v>
      </c>
      <c r="B34" s="385" t="s">
        <v>419</v>
      </c>
      <c r="C34" s="383"/>
      <c r="D34" s="383"/>
      <c r="E34" s="383"/>
      <c r="F34" s="383"/>
      <c r="G34" s="379"/>
    </row>
    <row r="35" spans="1:7" s="378" customFormat="1">
      <c r="A35" s="459" t="s">
        <v>420</v>
      </c>
      <c r="B35" s="385" t="s">
        <v>421</v>
      </c>
      <c r="C35" s="383"/>
      <c r="D35" s="383"/>
      <c r="E35" s="383"/>
      <c r="F35" s="383"/>
      <c r="G35" s="379"/>
    </row>
    <row r="36" spans="1:7" s="378" customFormat="1">
      <c r="A36" s="459" t="s">
        <v>422</v>
      </c>
      <c r="B36" s="385" t="s">
        <v>423</v>
      </c>
      <c r="C36" s="383"/>
      <c r="D36" s="383"/>
      <c r="E36" s="383"/>
      <c r="F36" s="383"/>
      <c r="G36" s="379"/>
    </row>
    <row r="37" spans="1:7" s="378" customFormat="1">
      <c r="A37" s="459" t="s">
        <v>424</v>
      </c>
      <c r="B37" s="385" t="s">
        <v>425</v>
      </c>
      <c r="C37" s="383"/>
      <c r="D37" s="383"/>
      <c r="E37" s="383"/>
      <c r="F37" s="383"/>
      <c r="G37" s="379"/>
    </row>
    <row r="38" spans="1:7" s="378" customFormat="1">
      <c r="A38" s="459" t="s">
        <v>426</v>
      </c>
      <c r="B38" s="385" t="s">
        <v>427</v>
      </c>
      <c r="C38" s="383"/>
      <c r="D38" s="383"/>
      <c r="E38" s="383"/>
      <c r="F38" s="383"/>
      <c r="G38" s="379"/>
    </row>
    <row r="39" spans="1:7" s="378" customFormat="1">
      <c r="A39" s="459" t="s">
        <v>428</v>
      </c>
      <c r="B39" s="385" t="s">
        <v>429</v>
      </c>
      <c r="C39" s="383"/>
      <c r="D39" s="383"/>
      <c r="E39" s="383"/>
      <c r="F39" s="383"/>
      <c r="G39" s="379"/>
    </row>
    <row r="40" spans="1:7" s="378" customFormat="1">
      <c r="A40" s="459" t="s">
        <v>430</v>
      </c>
      <c r="B40" s="385" t="s">
        <v>540</v>
      </c>
      <c r="C40" s="383"/>
      <c r="D40" s="383"/>
      <c r="E40" s="383"/>
      <c r="F40" s="383"/>
      <c r="G40" s="379"/>
    </row>
    <row r="41" spans="1:7" s="378" customFormat="1">
      <c r="A41" s="459" t="s">
        <v>431</v>
      </c>
      <c r="B41" s="385" t="s">
        <v>541</v>
      </c>
      <c r="C41" s="383"/>
      <c r="D41" s="383"/>
      <c r="E41" s="383"/>
      <c r="F41" s="383"/>
      <c r="G41" s="379"/>
    </row>
    <row r="42" spans="1:7" s="378" customFormat="1">
      <c r="A42" s="459" t="s">
        <v>432</v>
      </c>
      <c r="B42" s="385" t="s">
        <v>433</v>
      </c>
      <c r="C42" s="383"/>
      <c r="D42" s="383"/>
      <c r="E42" s="383"/>
      <c r="F42" s="383"/>
      <c r="G42" s="379"/>
    </row>
    <row r="43" spans="1:7" s="378" customFormat="1">
      <c r="A43" s="459" t="s">
        <v>434</v>
      </c>
      <c r="B43" s="385" t="s">
        <v>435</v>
      </c>
      <c r="C43" s="383"/>
      <c r="D43" s="383"/>
      <c r="E43" s="383"/>
      <c r="F43" s="383"/>
      <c r="G43" s="379"/>
    </row>
    <row r="44" spans="1:7" s="378" customFormat="1">
      <c r="A44" s="459" t="s">
        <v>436</v>
      </c>
      <c r="B44" s="385" t="s">
        <v>437</v>
      </c>
      <c r="C44" s="383"/>
      <c r="D44" s="383"/>
      <c r="E44" s="383"/>
      <c r="F44" s="383"/>
      <c r="G44" s="379"/>
    </row>
    <row r="45" spans="1:7" s="378" customFormat="1">
      <c r="A45" s="459" t="s">
        <v>438</v>
      </c>
      <c r="B45" s="385" t="s">
        <v>439</v>
      </c>
      <c r="C45" s="383"/>
      <c r="D45" s="383"/>
      <c r="E45" s="383"/>
      <c r="F45" s="383"/>
      <c r="G45" s="379"/>
    </row>
    <row r="46" spans="1:7" s="378" customFormat="1">
      <c r="A46" s="459" t="s">
        <v>440</v>
      </c>
      <c r="B46" s="385" t="s">
        <v>441</v>
      </c>
      <c r="C46" s="383"/>
      <c r="D46" s="383"/>
      <c r="E46" s="383"/>
      <c r="F46" s="383"/>
      <c r="G46" s="379"/>
    </row>
    <row r="47" spans="1:7" s="378" customFormat="1">
      <c r="A47" s="459" t="s">
        <v>442</v>
      </c>
      <c r="B47" s="385" t="s">
        <v>443</v>
      </c>
      <c r="C47" s="383"/>
      <c r="D47" s="383"/>
      <c r="E47" s="383"/>
      <c r="F47" s="383"/>
      <c r="G47" s="379"/>
    </row>
    <row r="48" spans="1:7" s="378" customFormat="1">
      <c r="A48" s="459" t="s">
        <v>444</v>
      </c>
      <c r="B48" s="385" t="s">
        <v>445</v>
      </c>
      <c r="C48" s="383"/>
      <c r="D48" s="383"/>
      <c r="E48" s="383"/>
      <c r="F48" s="383"/>
      <c r="G48" s="379"/>
    </row>
    <row r="49" spans="1:7" s="378" customFormat="1">
      <c r="A49" s="459" t="s">
        <v>9</v>
      </c>
      <c r="B49" s="385" t="s">
        <v>446</v>
      </c>
      <c r="C49" s="383"/>
      <c r="D49" s="383"/>
      <c r="E49" s="383"/>
      <c r="F49" s="383"/>
      <c r="G49" s="379"/>
    </row>
    <row r="50" spans="1:7" s="378" customFormat="1">
      <c r="A50" s="459" t="s">
        <v>447</v>
      </c>
      <c r="B50" s="385" t="s">
        <v>448</v>
      </c>
      <c r="C50" s="383"/>
      <c r="D50" s="383"/>
      <c r="E50" s="383"/>
      <c r="F50" s="383"/>
      <c r="G50" s="379"/>
    </row>
    <row r="51" spans="1:7" s="378" customFormat="1">
      <c r="A51" s="459" t="s">
        <v>449</v>
      </c>
      <c r="B51" s="385" t="s">
        <v>450</v>
      </c>
      <c r="C51" s="383"/>
      <c r="D51" s="383"/>
      <c r="E51" s="383"/>
      <c r="F51" s="383"/>
      <c r="G51" s="379"/>
    </row>
    <row r="52" spans="1:7" s="378" customFormat="1">
      <c r="A52" s="459" t="s">
        <v>451</v>
      </c>
      <c r="B52" s="385" t="s">
        <v>452</v>
      </c>
      <c r="C52" s="383"/>
      <c r="D52" s="383"/>
      <c r="E52" s="383"/>
      <c r="F52" s="383"/>
      <c r="G52" s="379"/>
    </row>
    <row r="53" spans="1:7" s="378" customFormat="1">
      <c r="A53" s="459" t="s">
        <v>453</v>
      </c>
      <c r="B53" s="385" t="s">
        <v>454</v>
      </c>
      <c r="C53" s="383"/>
      <c r="D53" s="383"/>
      <c r="E53" s="383"/>
      <c r="F53" s="383"/>
      <c r="G53" s="379"/>
    </row>
    <row r="54" spans="1:7" s="378" customFormat="1">
      <c r="A54" s="459" t="s">
        <v>455</v>
      </c>
      <c r="B54" s="385" t="s">
        <v>456</v>
      </c>
      <c r="C54" s="383"/>
      <c r="D54" s="383"/>
      <c r="E54" s="383"/>
      <c r="F54" s="383"/>
      <c r="G54" s="379"/>
    </row>
    <row r="55" spans="1:7" s="378" customFormat="1">
      <c r="A55" s="459" t="s">
        <v>457</v>
      </c>
      <c r="B55" s="385" t="s">
        <v>458</v>
      </c>
      <c r="C55" s="383"/>
      <c r="D55" s="383"/>
      <c r="E55" s="383"/>
      <c r="F55" s="383"/>
      <c r="G55" s="379"/>
    </row>
    <row r="56" spans="1:7" s="378" customFormat="1">
      <c r="A56" s="459" t="s">
        <v>459</v>
      </c>
      <c r="B56" s="385" t="s">
        <v>460</v>
      </c>
      <c r="C56" s="383"/>
      <c r="D56" s="383"/>
      <c r="E56" s="383"/>
      <c r="F56" s="383"/>
      <c r="G56" s="379"/>
    </row>
    <row r="57" spans="1:7" s="378" customFormat="1">
      <c r="A57" s="459" t="s">
        <v>461</v>
      </c>
      <c r="B57" s="385" t="s">
        <v>462</v>
      </c>
      <c r="C57" s="383"/>
      <c r="D57" s="383"/>
      <c r="E57" s="383"/>
      <c r="F57" s="383"/>
      <c r="G57" s="379"/>
    </row>
    <row r="58" spans="1:7" s="378" customFormat="1">
      <c r="A58" s="459" t="s">
        <v>463</v>
      </c>
      <c r="B58" s="385" t="s">
        <v>464</v>
      </c>
      <c r="C58" s="383"/>
      <c r="D58" s="383"/>
      <c r="E58" s="383"/>
      <c r="F58" s="383"/>
      <c r="G58" s="379"/>
    </row>
    <row r="59" spans="1:7" s="378" customFormat="1">
      <c r="A59" s="459" t="s">
        <v>465</v>
      </c>
      <c r="B59" s="385" t="s">
        <v>466</v>
      </c>
      <c r="C59" s="383"/>
      <c r="D59" s="383"/>
      <c r="E59" s="383"/>
      <c r="F59" s="383"/>
      <c r="G59" s="379"/>
    </row>
    <row r="60" spans="1:7" s="378" customFormat="1">
      <c r="A60" s="459" t="s">
        <v>467</v>
      </c>
      <c r="B60" s="385" t="s">
        <v>468</v>
      </c>
      <c r="C60" s="383"/>
      <c r="D60" s="383"/>
      <c r="E60" s="383"/>
      <c r="F60" s="383"/>
      <c r="G60" s="379"/>
    </row>
    <row r="61" spans="1:7" s="378" customFormat="1">
      <c r="A61" s="459" t="s">
        <v>469</v>
      </c>
      <c r="B61" s="385" t="s">
        <v>542</v>
      </c>
      <c r="C61" s="383"/>
      <c r="D61" s="383"/>
      <c r="E61" s="383"/>
      <c r="F61" s="383"/>
      <c r="G61" s="379"/>
    </row>
    <row r="62" spans="1:7" s="378" customFormat="1">
      <c r="A62" s="459" t="s">
        <v>470</v>
      </c>
      <c r="B62" s="385" t="s">
        <v>471</v>
      </c>
      <c r="C62" s="383"/>
      <c r="D62" s="383"/>
      <c r="E62" s="383"/>
      <c r="F62" s="383"/>
      <c r="G62" s="379"/>
    </row>
    <row r="63" spans="1:7" s="378" customFormat="1">
      <c r="A63" s="459" t="s">
        <v>472</v>
      </c>
      <c r="B63" s="385" t="s">
        <v>473</v>
      </c>
      <c r="C63" s="383"/>
      <c r="D63" s="383"/>
      <c r="E63" s="383"/>
      <c r="F63" s="383"/>
      <c r="G63" s="379"/>
    </row>
    <row r="64" spans="1:7" s="378" customFormat="1">
      <c r="A64" s="459" t="s">
        <v>474</v>
      </c>
      <c r="B64" s="385" t="s">
        <v>475</v>
      </c>
      <c r="C64" s="383"/>
      <c r="D64" s="383"/>
      <c r="E64" s="383"/>
      <c r="F64" s="383"/>
      <c r="G64" s="379"/>
    </row>
    <row r="65" spans="1:7" s="378" customFormat="1">
      <c r="A65" s="459" t="s">
        <v>476</v>
      </c>
      <c r="B65" s="385" t="s">
        <v>477</v>
      </c>
      <c r="C65" s="383"/>
      <c r="D65" s="383"/>
      <c r="E65" s="383"/>
      <c r="F65" s="383"/>
      <c r="G65" s="379"/>
    </row>
    <row r="66" spans="1:7" s="378" customFormat="1">
      <c r="A66" s="459" t="s">
        <v>478</v>
      </c>
      <c r="B66" s="385" t="s">
        <v>479</v>
      </c>
      <c r="C66" s="383"/>
      <c r="D66" s="383"/>
      <c r="E66" s="383"/>
      <c r="F66" s="383"/>
      <c r="G66" s="379"/>
    </row>
    <row r="67" spans="1:7" s="378" customFormat="1">
      <c r="A67" s="459" t="s">
        <v>480</v>
      </c>
      <c r="B67" s="385" t="s">
        <v>481</v>
      </c>
      <c r="C67" s="383"/>
      <c r="D67" s="383"/>
      <c r="E67" s="383"/>
      <c r="F67" s="383"/>
      <c r="G67" s="379"/>
    </row>
    <row r="68" spans="1:7" s="378" customFormat="1">
      <c r="A68" s="459" t="s">
        <v>482</v>
      </c>
      <c r="B68" s="385" t="s">
        <v>483</v>
      </c>
      <c r="C68" s="383"/>
      <c r="D68" s="383"/>
      <c r="E68" s="383"/>
      <c r="F68" s="383"/>
      <c r="G68" s="379"/>
    </row>
    <row r="69" spans="1:7" s="378" customFormat="1">
      <c r="A69" s="459" t="s">
        <v>484</v>
      </c>
      <c r="B69" s="385" t="s">
        <v>468</v>
      </c>
      <c r="C69" s="383"/>
      <c r="D69" s="383"/>
      <c r="E69" s="383"/>
      <c r="F69" s="383"/>
      <c r="G69" s="379"/>
    </row>
    <row r="70" spans="1:7" s="378" customFormat="1">
      <c r="A70" s="459" t="s">
        <v>485</v>
      </c>
      <c r="B70" s="385" t="s">
        <v>486</v>
      </c>
      <c r="C70" s="383"/>
      <c r="D70" s="383"/>
      <c r="E70" s="383"/>
      <c r="F70" s="383"/>
      <c r="G70" s="379"/>
    </row>
    <row r="71" spans="1:7" s="378" customFormat="1">
      <c r="A71" s="459" t="s">
        <v>487</v>
      </c>
      <c r="B71" s="385" t="s">
        <v>488</v>
      </c>
      <c r="C71" s="383"/>
      <c r="D71" s="383"/>
      <c r="E71" s="383"/>
      <c r="F71" s="383"/>
      <c r="G71" s="379"/>
    </row>
    <row r="72" spans="1:7" s="378" customFormat="1">
      <c r="A72" s="459" t="s">
        <v>489</v>
      </c>
      <c r="B72" s="385" t="s">
        <v>543</v>
      </c>
      <c r="C72" s="383"/>
      <c r="D72" s="383"/>
      <c r="E72" s="383"/>
      <c r="F72" s="383"/>
      <c r="G72" s="379"/>
    </row>
    <row r="73" spans="1:7" s="378" customFormat="1">
      <c r="A73" s="459" t="s">
        <v>490</v>
      </c>
      <c r="B73" s="385" t="s">
        <v>491</v>
      </c>
      <c r="C73" s="383"/>
      <c r="D73" s="383"/>
      <c r="E73" s="383"/>
      <c r="F73" s="383"/>
      <c r="G73" s="379"/>
    </row>
    <row r="74" spans="1:7" s="378" customFormat="1">
      <c r="A74" s="459" t="s">
        <v>492</v>
      </c>
      <c r="B74" s="385" t="s">
        <v>493</v>
      </c>
      <c r="C74" s="383"/>
      <c r="D74" s="383"/>
      <c r="E74" s="383"/>
      <c r="F74" s="383"/>
      <c r="G74" s="379"/>
    </row>
    <row r="75" spans="1:7" s="378" customFormat="1">
      <c r="A75" s="459" t="s">
        <v>494</v>
      </c>
      <c r="B75" s="385" t="s">
        <v>544</v>
      </c>
      <c r="C75" s="383"/>
      <c r="D75" s="383"/>
      <c r="E75" s="383"/>
      <c r="F75" s="383"/>
      <c r="G75" s="379"/>
    </row>
    <row r="76" spans="1:7" s="378" customFormat="1">
      <c r="A76" s="459" t="s">
        <v>495</v>
      </c>
      <c r="B76" s="385" t="s">
        <v>545</v>
      </c>
      <c r="C76" s="383"/>
      <c r="D76" s="383"/>
      <c r="E76" s="383"/>
      <c r="F76" s="383"/>
      <c r="G76" s="379"/>
    </row>
    <row r="77" spans="1:7" s="378" customFormat="1">
      <c r="A77" s="459" t="s">
        <v>496</v>
      </c>
      <c r="B77" s="385" t="s">
        <v>497</v>
      </c>
      <c r="C77" s="383"/>
      <c r="D77" s="383"/>
      <c r="E77" s="383"/>
      <c r="F77" s="383"/>
      <c r="G77" s="379"/>
    </row>
    <row r="78" spans="1:7" s="378" customFormat="1">
      <c r="A78" s="459" t="s">
        <v>498</v>
      </c>
      <c r="B78" s="385" t="s">
        <v>499</v>
      </c>
      <c r="C78" s="383"/>
      <c r="D78" s="383"/>
      <c r="E78" s="383"/>
      <c r="F78" s="383"/>
      <c r="G78" s="379"/>
    </row>
    <row r="79" spans="1:7" s="378" customFormat="1">
      <c r="A79" s="459" t="s">
        <v>500</v>
      </c>
      <c r="B79" s="385" t="s">
        <v>501</v>
      </c>
      <c r="C79" s="383"/>
      <c r="D79" s="383"/>
      <c r="E79" s="383"/>
      <c r="F79" s="383"/>
      <c r="G79" s="379"/>
    </row>
    <row r="80" spans="1:7" s="378" customFormat="1">
      <c r="A80" s="459" t="s">
        <v>502</v>
      </c>
      <c r="B80" s="385" t="s">
        <v>546</v>
      </c>
      <c r="C80" s="383"/>
      <c r="D80" s="383"/>
      <c r="E80" s="383"/>
      <c r="F80" s="383"/>
      <c r="G80" s="379"/>
    </row>
    <row r="81" spans="1:7" s="378" customFormat="1">
      <c r="A81" s="459" t="s">
        <v>503</v>
      </c>
      <c r="B81" s="385" t="s">
        <v>547</v>
      </c>
      <c r="C81" s="383"/>
      <c r="D81" s="383"/>
      <c r="E81" s="383"/>
      <c r="F81" s="383"/>
      <c r="G81" s="379"/>
    </row>
    <row r="82" spans="1:7" s="378" customFormat="1">
      <c r="A82" s="459" t="s">
        <v>504</v>
      </c>
      <c r="B82" s="385" t="s">
        <v>548</v>
      </c>
      <c r="C82" s="383"/>
      <c r="D82" s="383"/>
      <c r="E82" s="383"/>
      <c r="F82" s="383"/>
      <c r="G82" s="379"/>
    </row>
    <row r="83" spans="1:7" s="378" customFormat="1">
      <c r="A83" s="459" t="s">
        <v>505</v>
      </c>
      <c r="B83" s="385" t="s">
        <v>506</v>
      </c>
      <c r="C83" s="383"/>
      <c r="D83" s="383"/>
      <c r="E83" s="383"/>
      <c r="F83" s="383"/>
      <c r="G83" s="379"/>
    </row>
    <row r="84" spans="1:7" s="378" customFormat="1">
      <c r="A84" s="459" t="s">
        <v>507</v>
      </c>
      <c r="B84" s="385" t="s">
        <v>508</v>
      </c>
      <c r="C84" s="383"/>
      <c r="D84" s="383"/>
      <c r="E84" s="383"/>
      <c r="F84" s="383"/>
      <c r="G84" s="379"/>
    </row>
    <row r="85" spans="1:7" s="378" customFormat="1">
      <c r="A85" s="459" t="s">
        <v>509</v>
      </c>
      <c r="B85" s="385" t="s">
        <v>510</v>
      </c>
      <c r="C85" s="383"/>
      <c r="D85" s="383"/>
      <c r="E85" s="383"/>
      <c r="F85" s="383"/>
      <c r="G85" s="379"/>
    </row>
    <row r="86" spans="1:7" s="378" customFormat="1">
      <c r="A86" s="459" t="s">
        <v>511</v>
      </c>
      <c r="B86" s="385" t="s">
        <v>512</v>
      </c>
      <c r="C86" s="383"/>
      <c r="D86" s="383"/>
      <c r="E86" s="383"/>
      <c r="F86" s="383"/>
      <c r="G86" s="379"/>
    </row>
    <row r="87" spans="1:7" s="378" customFormat="1">
      <c r="A87" s="459" t="s">
        <v>513</v>
      </c>
      <c r="B87" s="385" t="s">
        <v>514</v>
      </c>
      <c r="C87" s="383"/>
      <c r="D87" s="383"/>
      <c r="E87" s="383"/>
      <c r="F87" s="383"/>
      <c r="G87" s="379"/>
    </row>
    <row r="88" spans="1:7" s="378" customFormat="1">
      <c r="A88" s="459" t="s">
        <v>515</v>
      </c>
      <c r="B88" s="385" t="s">
        <v>516</v>
      </c>
      <c r="C88" s="383"/>
      <c r="D88" s="383"/>
      <c r="E88" s="383"/>
      <c r="F88" s="383"/>
      <c r="G88" s="379"/>
    </row>
    <row r="89" spans="1:7" s="378" customFormat="1">
      <c r="A89" s="459" t="s">
        <v>517</v>
      </c>
      <c r="B89" s="385" t="s">
        <v>518</v>
      </c>
      <c r="C89" s="383"/>
      <c r="D89" s="383"/>
      <c r="E89" s="383"/>
      <c r="F89" s="383"/>
      <c r="G89" s="379"/>
    </row>
    <row r="90" spans="1:7" s="378" customFormat="1">
      <c r="A90" s="459" t="s">
        <v>519</v>
      </c>
      <c r="B90" s="385" t="s">
        <v>520</v>
      </c>
      <c r="C90" s="383"/>
      <c r="D90" s="383"/>
      <c r="E90" s="383"/>
      <c r="F90" s="383"/>
      <c r="G90" s="379"/>
    </row>
    <row r="91" spans="1:7" s="378" customFormat="1">
      <c r="A91" s="459" t="s">
        <v>521</v>
      </c>
      <c r="B91" s="385" t="s">
        <v>522</v>
      </c>
      <c r="C91" s="383"/>
      <c r="D91" s="383"/>
      <c r="E91" s="383"/>
      <c r="F91" s="383"/>
      <c r="G91" s="379"/>
    </row>
    <row r="92" spans="1:7" s="378" customFormat="1">
      <c r="A92" s="459" t="s">
        <v>523</v>
      </c>
      <c r="B92" s="385" t="s">
        <v>524</v>
      </c>
      <c r="C92" s="383"/>
      <c r="D92" s="383"/>
      <c r="E92" s="383"/>
      <c r="F92" s="383"/>
      <c r="G92" s="379"/>
    </row>
    <row r="93" spans="1:7" s="378" customFormat="1">
      <c r="A93" s="459" t="s">
        <v>525</v>
      </c>
      <c r="B93" s="385" t="s">
        <v>526</v>
      </c>
      <c r="C93" s="383"/>
      <c r="D93" s="383"/>
      <c r="E93" s="383"/>
      <c r="F93" s="383"/>
      <c r="G93" s="379"/>
    </row>
    <row r="94" spans="1:7" s="378" customFormat="1">
      <c r="A94" s="383"/>
      <c r="B94" s="383"/>
      <c r="C94" s="383"/>
      <c r="D94" s="383"/>
      <c r="E94" s="383"/>
      <c r="F94" s="383"/>
      <c r="G94" s="379"/>
    </row>
    <row r="95" spans="1:7" s="378" customFormat="1">
      <c r="A95" s="383"/>
      <c r="B95" s="383"/>
      <c r="C95" s="383"/>
      <c r="D95" s="383"/>
      <c r="E95" s="383"/>
      <c r="F95" s="383"/>
      <c r="G95" s="379"/>
    </row>
    <row r="96" spans="1:7" s="378" customFormat="1">
      <c r="A96" s="383"/>
      <c r="B96" s="383"/>
      <c r="C96" s="383"/>
      <c r="D96" s="383"/>
      <c r="E96" s="383"/>
      <c r="F96" s="383"/>
      <c r="G96" s="379"/>
    </row>
    <row r="97" spans="1:7" s="378" customFormat="1">
      <c r="A97" s="383"/>
      <c r="B97" s="383"/>
      <c r="C97" s="383"/>
      <c r="D97" s="383"/>
      <c r="E97" s="383"/>
      <c r="F97" s="383"/>
      <c r="G97" s="379"/>
    </row>
    <row r="98" spans="1:7" s="378" customFormat="1">
      <c r="A98" s="383"/>
      <c r="B98" s="383"/>
      <c r="C98" s="383"/>
      <c r="D98" s="383"/>
      <c r="E98" s="383"/>
      <c r="F98" s="383"/>
      <c r="G98" s="379"/>
    </row>
    <row r="99" spans="1:7" s="378" customFormat="1">
      <c r="A99" s="383"/>
      <c r="B99" s="383"/>
      <c r="C99" s="383"/>
      <c r="D99" s="383"/>
      <c r="E99" s="383"/>
      <c r="F99" s="383"/>
      <c r="G99" s="379"/>
    </row>
    <row r="100" spans="1:7" s="378" customFormat="1">
      <c r="A100" s="383"/>
      <c r="B100" s="383"/>
      <c r="C100" s="383"/>
      <c r="D100" s="383"/>
      <c r="E100" s="383"/>
      <c r="F100" s="383"/>
      <c r="G100" s="379"/>
    </row>
    <row r="101" spans="1:7" s="378" customFormat="1">
      <c r="A101" s="383"/>
      <c r="B101" s="383"/>
      <c r="C101" s="383"/>
      <c r="D101" s="383"/>
      <c r="E101" s="383"/>
      <c r="F101" s="383"/>
      <c r="G101" s="379"/>
    </row>
    <row r="102" spans="1:7" s="378" customFormat="1">
      <c r="A102" s="383"/>
      <c r="B102" s="383"/>
      <c r="C102" s="383"/>
      <c r="D102" s="383"/>
      <c r="E102" s="383"/>
      <c r="F102" s="383"/>
      <c r="G102" s="379"/>
    </row>
    <row r="103" spans="1:7" s="378" customFormat="1">
      <c r="A103" s="383"/>
      <c r="B103" s="383"/>
      <c r="C103" s="383"/>
      <c r="D103" s="383"/>
      <c r="E103" s="383"/>
      <c r="F103" s="383"/>
      <c r="G103" s="379"/>
    </row>
    <row r="104" spans="1:7" s="378" customFormat="1">
      <c r="A104" s="383"/>
      <c r="B104" s="383"/>
      <c r="C104" s="383"/>
      <c r="D104" s="383"/>
      <c r="E104" s="383"/>
      <c r="F104" s="383"/>
      <c r="G104" s="379"/>
    </row>
    <row r="105" spans="1:7" s="378" customFormat="1">
      <c r="A105" s="383"/>
      <c r="B105" s="383"/>
      <c r="C105" s="383"/>
      <c r="D105" s="383"/>
      <c r="E105" s="383"/>
      <c r="F105" s="383"/>
      <c r="G105" s="379"/>
    </row>
    <row r="106" spans="1:7" s="378" customFormat="1">
      <c r="A106" s="383"/>
      <c r="B106" s="383"/>
      <c r="C106" s="383"/>
      <c r="D106" s="383"/>
      <c r="E106" s="383"/>
      <c r="F106" s="383"/>
      <c r="G106" s="379"/>
    </row>
    <row r="107" spans="1:7" s="378" customFormat="1">
      <c r="A107" s="383"/>
      <c r="B107" s="383"/>
      <c r="C107" s="383"/>
      <c r="D107" s="383"/>
      <c r="E107" s="383"/>
      <c r="F107" s="383"/>
      <c r="G107" s="379"/>
    </row>
    <row r="108" spans="1:7" s="378" customFormat="1">
      <c r="A108" s="383"/>
      <c r="B108" s="383"/>
      <c r="C108" s="383"/>
      <c r="D108" s="383"/>
      <c r="E108" s="383"/>
      <c r="F108" s="383"/>
      <c r="G108" s="379"/>
    </row>
    <row r="109" spans="1:7" s="378" customFormat="1">
      <c r="A109" s="383"/>
      <c r="B109" s="383"/>
      <c r="C109" s="383"/>
      <c r="D109" s="383"/>
      <c r="E109" s="383"/>
      <c r="F109" s="383"/>
      <c r="G109" s="379"/>
    </row>
    <row r="110" spans="1:7" s="378" customFormat="1">
      <c r="A110" s="383"/>
      <c r="B110" s="383"/>
      <c r="C110" s="383"/>
      <c r="D110" s="383"/>
      <c r="E110" s="383"/>
      <c r="F110" s="383"/>
      <c r="G110" s="379"/>
    </row>
    <row r="111" spans="1:7" s="378" customFormat="1">
      <c r="A111" s="383"/>
      <c r="B111" s="383"/>
      <c r="C111" s="383"/>
      <c r="D111" s="383"/>
      <c r="E111" s="383"/>
      <c r="F111" s="383"/>
      <c r="G111" s="379"/>
    </row>
    <row r="112" spans="1:7" s="378" customFormat="1">
      <c r="A112" s="383"/>
      <c r="B112" s="383"/>
      <c r="C112" s="383"/>
      <c r="D112" s="383"/>
      <c r="E112" s="383"/>
      <c r="F112" s="383"/>
      <c r="G112" s="379"/>
    </row>
    <row r="113" spans="1:7" s="378" customFormat="1">
      <c r="A113" s="383"/>
      <c r="B113" s="383"/>
      <c r="C113" s="383"/>
      <c r="D113" s="383"/>
      <c r="E113" s="383"/>
      <c r="F113" s="383"/>
      <c r="G113" s="379"/>
    </row>
    <row r="114" spans="1:7" s="378" customFormat="1">
      <c r="A114" s="383"/>
      <c r="B114" s="383"/>
      <c r="C114" s="383"/>
      <c r="D114" s="383"/>
      <c r="E114" s="383"/>
      <c r="F114" s="383"/>
      <c r="G114" s="379"/>
    </row>
    <row r="115" spans="1:7" s="378" customFormat="1">
      <c r="A115" s="383"/>
      <c r="B115" s="383"/>
      <c r="C115" s="383"/>
      <c r="D115" s="383"/>
      <c r="E115" s="383"/>
      <c r="F115" s="383"/>
      <c r="G115" s="379"/>
    </row>
    <row r="116" spans="1:7" s="378" customFormat="1">
      <c r="A116" s="383"/>
      <c r="B116" s="383"/>
      <c r="C116" s="383"/>
      <c r="D116" s="383"/>
      <c r="E116" s="383"/>
      <c r="F116" s="383"/>
      <c r="G116" s="379"/>
    </row>
    <row r="117" spans="1:7" s="378" customFormat="1">
      <c r="A117" s="383"/>
      <c r="B117" s="383"/>
      <c r="C117" s="383"/>
      <c r="D117" s="383"/>
      <c r="E117" s="383"/>
      <c r="F117" s="383"/>
      <c r="G117" s="379"/>
    </row>
    <row r="118" spans="1:7" s="378" customFormat="1">
      <c r="A118" s="383"/>
      <c r="B118" s="383"/>
      <c r="C118" s="383"/>
      <c r="D118" s="383"/>
      <c r="E118" s="383"/>
      <c r="F118" s="383"/>
      <c r="G118" s="379"/>
    </row>
    <row r="119" spans="1:7" s="378" customFormat="1">
      <c r="A119" s="383"/>
      <c r="B119" s="383"/>
      <c r="C119" s="383"/>
      <c r="D119" s="383"/>
      <c r="E119" s="383"/>
      <c r="F119" s="383"/>
      <c r="G119" s="379"/>
    </row>
    <row r="120" spans="1:7" s="378" customFormat="1">
      <c r="A120" s="383"/>
      <c r="B120" s="383"/>
      <c r="C120" s="383"/>
      <c r="D120" s="383"/>
      <c r="E120" s="383"/>
      <c r="F120" s="383"/>
      <c r="G120" s="379"/>
    </row>
    <row r="121" spans="1:7" s="378" customFormat="1">
      <c r="A121" s="383"/>
      <c r="B121" s="383"/>
      <c r="C121" s="383"/>
      <c r="D121" s="383"/>
      <c r="E121" s="383"/>
      <c r="F121" s="383"/>
      <c r="G121" s="379"/>
    </row>
    <row r="122" spans="1:7" s="378" customFormat="1">
      <c r="A122" s="383"/>
      <c r="B122" s="383"/>
      <c r="C122" s="383"/>
      <c r="D122" s="383"/>
      <c r="E122" s="383"/>
      <c r="F122" s="383"/>
      <c r="G122" s="379"/>
    </row>
    <row r="123" spans="1:7" s="378" customFormat="1">
      <c r="A123" s="383"/>
      <c r="B123" s="383"/>
      <c r="C123" s="383"/>
      <c r="D123" s="383"/>
      <c r="E123" s="383"/>
      <c r="F123" s="383"/>
      <c r="G123" s="379"/>
    </row>
    <row r="124" spans="1:7" s="378" customFormat="1">
      <c r="A124" s="383"/>
      <c r="B124" s="383"/>
      <c r="C124" s="383"/>
      <c r="D124" s="383"/>
      <c r="E124" s="383"/>
      <c r="F124" s="383"/>
      <c r="G124" s="379"/>
    </row>
    <row r="125" spans="1:7" s="378" customFormat="1">
      <c r="A125" s="383"/>
      <c r="B125" s="383"/>
      <c r="C125" s="383"/>
      <c r="D125" s="383"/>
      <c r="E125" s="383"/>
      <c r="F125" s="383"/>
      <c r="G125" s="379"/>
    </row>
    <row r="126" spans="1:7" s="378" customFormat="1">
      <c r="A126" s="383"/>
      <c r="B126" s="383"/>
      <c r="C126" s="383"/>
      <c r="D126" s="383"/>
      <c r="E126" s="383"/>
      <c r="F126" s="383"/>
      <c r="G126" s="379"/>
    </row>
    <row r="127" spans="1:7" s="378" customFormat="1">
      <c r="A127" s="383"/>
      <c r="B127" s="383"/>
      <c r="C127" s="383"/>
      <c r="D127" s="383"/>
      <c r="E127" s="383"/>
      <c r="F127" s="383"/>
      <c r="G127" s="379"/>
    </row>
    <row r="128" spans="1:7" s="378" customFormat="1">
      <c r="A128" s="383"/>
      <c r="B128" s="383"/>
      <c r="C128" s="383"/>
      <c r="D128" s="383"/>
      <c r="E128" s="383"/>
      <c r="F128" s="383"/>
      <c r="G128" s="379"/>
    </row>
    <row r="129" spans="1:7" s="378" customFormat="1">
      <c r="A129" s="383"/>
      <c r="B129" s="383"/>
      <c r="C129" s="383"/>
      <c r="D129" s="383"/>
      <c r="E129" s="383"/>
      <c r="F129" s="383"/>
      <c r="G129" s="379"/>
    </row>
    <row r="130" spans="1:7" s="378" customFormat="1">
      <c r="A130" s="383"/>
      <c r="B130" s="383"/>
      <c r="C130" s="383"/>
      <c r="D130" s="383"/>
      <c r="E130" s="383"/>
      <c r="F130" s="383"/>
      <c r="G130" s="379"/>
    </row>
    <row r="131" spans="1:7" s="378" customFormat="1">
      <c r="A131" s="383"/>
      <c r="B131" s="383"/>
      <c r="C131" s="383"/>
      <c r="D131" s="383"/>
      <c r="E131" s="383"/>
      <c r="F131" s="383"/>
      <c r="G131" s="379"/>
    </row>
    <row r="132" spans="1:7" s="378" customFormat="1">
      <c r="A132" s="383"/>
      <c r="B132" s="383"/>
      <c r="C132" s="383"/>
      <c r="D132" s="383"/>
      <c r="E132" s="383"/>
      <c r="F132" s="383"/>
      <c r="G132" s="379"/>
    </row>
    <row r="133" spans="1:7" s="378" customFormat="1">
      <c r="A133" s="383"/>
      <c r="B133" s="383"/>
      <c r="C133" s="383"/>
      <c r="D133" s="383"/>
      <c r="E133" s="383"/>
      <c r="F133" s="383"/>
      <c r="G133" s="379"/>
    </row>
    <row r="134" spans="1:7" s="378" customFormat="1">
      <c r="A134" s="383"/>
      <c r="B134" s="383"/>
      <c r="C134" s="383"/>
      <c r="D134" s="383"/>
      <c r="E134" s="383"/>
      <c r="F134" s="383"/>
      <c r="G134" s="379"/>
    </row>
    <row r="135" spans="1:7" s="378" customFormat="1">
      <c r="A135" s="383"/>
      <c r="B135" s="383"/>
      <c r="C135" s="383"/>
      <c r="D135" s="383"/>
      <c r="E135" s="383"/>
      <c r="F135" s="383"/>
      <c r="G135" s="379"/>
    </row>
    <row r="136" spans="1:7" s="378" customFormat="1">
      <c r="A136" s="383"/>
      <c r="B136" s="383"/>
      <c r="C136" s="383"/>
      <c r="D136" s="383"/>
      <c r="E136" s="383"/>
      <c r="F136" s="383"/>
      <c r="G136" s="379"/>
    </row>
    <row r="137" spans="1:7" s="378" customFormat="1">
      <c r="A137" s="383"/>
      <c r="B137" s="383"/>
      <c r="C137" s="383"/>
      <c r="D137" s="383"/>
      <c r="E137" s="383"/>
      <c r="F137" s="383"/>
      <c r="G137" s="379"/>
    </row>
    <row r="138" spans="1:7" s="378" customFormat="1">
      <c r="A138" s="383"/>
      <c r="B138" s="383"/>
      <c r="C138" s="383"/>
      <c r="D138" s="383"/>
      <c r="E138" s="383"/>
      <c r="F138" s="383"/>
      <c r="G138" s="379"/>
    </row>
    <row r="139" spans="1:7" s="378" customFormat="1">
      <c r="A139" s="383"/>
      <c r="B139" s="383"/>
      <c r="C139" s="383"/>
      <c r="D139" s="383"/>
      <c r="E139" s="383"/>
      <c r="F139" s="383"/>
      <c r="G139" s="379"/>
    </row>
    <row r="140" spans="1:7" s="378" customFormat="1">
      <c r="A140" s="383"/>
      <c r="B140" s="383"/>
      <c r="C140" s="383"/>
      <c r="D140" s="383"/>
      <c r="E140" s="383"/>
      <c r="F140" s="383"/>
      <c r="G140" s="379"/>
    </row>
    <row r="141" spans="1:7" s="378" customFormat="1">
      <c r="A141" s="383"/>
      <c r="B141" s="383"/>
      <c r="C141" s="383"/>
      <c r="D141" s="383"/>
      <c r="E141" s="383"/>
      <c r="F141" s="383"/>
      <c r="G141" s="379"/>
    </row>
    <row r="142" spans="1:7" s="378" customFormat="1">
      <c r="A142" s="383"/>
      <c r="B142" s="383"/>
      <c r="C142" s="383"/>
      <c r="D142" s="383"/>
      <c r="E142" s="383"/>
      <c r="F142" s="383"/>
      <c r="G142" s="379"/>
    </row>
    <row r="143" spans="1:7" s="378" customFormat="1">
      <c r="A143" s="383"/>
      <c r="B143" s="383"/>
      <c r="C143" s="383"/>
      <c r="D143" s="383"/>
      <c r="E143" s="383"/>
      <c r="F143" s="383"/>
      <c r="G143" s="379"/>
    </row>
    <row r="144" spans="1:7" s="378" customFormat="1">
      <c r="A144" s="383"/>
      <c r="B144" s="383"/>
      <c r="C144" s="383"/>
      <c r="D144" s="383"/>
      <c r="E144" s="383"/>
      <c r="F144" s="383"/>
      <c r="G144" s="379"/>
    </row>
    <row r="145" spans="1:7" s="378" customFormat="1">
      <c r="A145" s="383"/>
      <c r="B145" s="383"/>
      <c r="C145" s="383"/>
      <c r="D145" s="383"/>
      <c r="E145" s="383"/>
      <c r="F145" s="383"/>
      <c r="G145" s="379"/>
    </row>
    <row r="146" spans="1:7" s="378" customFormat="1">
      <c r="A146" s="383"/>
      <c r="B146" s="383"/>
      <c r="C146" s="383"/>
      <c r="D146" s="383"/>
      <c r="E146" s="383"/>
      <c r="F146" s="383"/>
      <c r="G146" s="379"/>
    </row>
    <row r="147" spans="1:7" s="378" customFormat="1">
      <c r="A147" s="383"/>
      <c r="B147" s="383"/>
      <c r="C147" s="383"/>
      <c r="D147" s="383"/>
      <c r="E147" s="383"/>
      <c r="F147" s="383"/>
      <c r="G147" s="379"/>
    </row>
    <row r="148" spans="1:7" s="378" customFormat="1">
      <c r="A148" s="383"/>
      <c r="B148" s="383"/>
      <c r="C148" s="383"/>
      <c r="D148" s="383"/>
      <c r="E148" s="383"/>
      <c r="F148" s="383"/>
      <c r="G148" s="379"/>
    </row>
    <row r="149" spans="1:7" s="378" customFormat="1">
      <c r="A149" s="383"/>
      <c r="B149" s="383"/>
      <c r="C149" s="383"/>
      <c r="D149" s="383"/>
      <c r="E149" s="383"/>
      <c r="F149" s="383"/>
      <c r="G149" s="379"/>
    </row>
    <row r="150" spans="1:7" s="378" customFormat="1">
      <c r="A150" s="383"/>
      <c r="B150" s="383"/>
      <c r="C150" s="383"/>
      <c r="D150" s="383"/>
      <c r="E150" s="383"/>
      <c r="F150" s="383"/>
      <c r="G150" s="379"/>
    </row>
    <row r="151" spans="1:7" s="378" customFormat="1">
      <c r="A151" s="383"/>
      <c r="B151" s="383"/>
      <c r="C151" s="383"/>
      <c r="D151" s="383"/>
      <c r="E151" s="383"/>
      <c r="F151" s="383"/>
      <c r="G151" s="379"/>
    </row>
    <row r="152" spans="1:7" s="378" customFormat="1">
      <c r="A152" s="383"/>
      <c r="B152" s="383"/>
      <c r="C152" s="383"/>
      <c r="D152" s="383"/>
      <c r="E152" s="383"/>
      <c r="F152" s="383"/>
      <c r="G152" s="379"/>
    </row>
    <row r="153" spans="1:7" s="378" customFormat="1">
      <c r="A153" s="383"/>
      <c r="B153" s="383"/>
      <c r="C153" s="383"/>
      <c r="D153" s="383"/>
      <c r="E153" s="383"/>
      <c r="F153" s="383"/>
      <c r="G153" s="379"/>
    </row>
    <row r="154" spans="1:7" s="378" customFormat="1">
      <c r="A154" s="383"/>
      <c r="B154" s="383"/>
      <c r="C154" s="383"/>
      <c r="D154" s="383"/>
      <c r="E154" s="383"/>
      <c r="F154" s="383"/>
      <c r="G154" s="379"/>
    </row>
    <row r="155" spans="1:7" s="378" customFormat="1">
      <c r="A155" s="383"/>
      <c r="B155" s="383"/>
      <c r="C155" s="383"/>
      <c r="D155" s="383"/>
      <c r="E155" s="383"/>
      <c r="F155" s="383"/>
      <c r="G155" s="379"/>
    </row>
    <row r="156" spans="1:7" s="378" customFormat="1">
      <c r="A156" s="383"/>
      <c r="B156" s="383"/>
      <c r="C156" s="383"/>
      <c r="D156" s="383"/>
      <c r="E156" s="383"/>
      <c r="F156" s="383"/>
      <c r="G156" s="379"/>
    </row>
    <row r="157" spans="1:7" s="378" customFormat="1">
      <c r="A157" s="383"/>
      <c r="B157" s="383"/>
      <c r="C157" s="383"/>
      <c r="D157" s="383"/>
      <c r="E157" s="383"/>
      <c r="F157" s="383"/>
      <c r="G157" s="379"/>
    </row>
    <row r="158" spans="1:7" s="378" customFormat="1">
      <c r="A158" s="383"/>
      <c r="B158" s="383"/>
      <c r="C158" s="383"/>
      <c r="D158" s="383"/>
      <c r="E158" s="383"/>
      <c r="F158" s="383"/>
      <c r="G158" s="379"/>
    </row>
    <row r="159" spans="1:7" s="378" customFormat="1">
      <c r="A159" s="383"/>
      <c r="B159" s="383"/>
      <c r="C159" s="383"/>
      <c r="D159" s="383"/>
      <c r="E159" s="383"/>
      <c r="F159" s="383"/>
      <c r="G159" s="379"/>
    </row>
    <row r="160" spans="1:7" s="378" customFormat="1">
      <c r="A160" s="383"/>
      <c r="B160" s="383"/>
      <c r="C160" s="383"/>
      <c r="D160" s="383"/>
      <c r="E160" s="383"/>
      <c r="F160" s="383"/>
      <c r="G160" s="379"/>
    </row>
    <row r="161" spans="1:7" s="378" customFormat="1">
      <c r="A161" s="383"/>
      <c r="B161" s="383"/>
      <c r="C161" s="383"/>
      <c r="D161" s="383"/>
      <c r="E161" s="383"/>
      <c r="F161" s="383"/>
      <c r="G161" s="379"/>
    </row>
    <row r="162" spans="1:7" s="378" customFormat="1">
      <c r="A162" s="383"/>
      <c r="B162" s="383"/>
      <c r="C162" s="383"/>
      <c r="D162" s="383"/>
      <c r="E162" s="383"/>
      <c r="F162" s="383"/>
      <c r="G162" s="379"/>
    </row>
    <row r="163" spans="1:7" s="378" customFormat="1">
      <c r="A163" s="383"/>
      <c r="B163" s="383"/>
      <c r="C163" s="383"/>
      <c r="D163" s="383"/>
      <c r="E163" s="383"/>
      <c r="F163" s="383"/>
      <c r="G163" s="379"/>
    </row>
    <row r="164" spans="1:7" s="378" customFormat="1">
      <c r="A164" s="383"/>
      <c r="B164" s="383"/>
      <c r="C164" s="383"/>
      <c r="D164" s="383"/>
      <c r="E164" s="383"/>
      <c r="F164" s="383"/>
      <c r="G164" s="379"/>
    </row>
    <row r="165" spans="1:7" s="378" customFormat="1">
      <c r="A165" s="383"/>
      <c r="B165" s="383"/>
      <c r="C165" s="383"/>
      <c r="D165" s="383"/>
      <c r="E165" s="383"/>
      <c r="F165" s="383"/>
      <c r="G165" s="379"/>
    </row>
    <row r="166" spans="1:7" s="378" customFormat="1">
      <c r="A166" s="383"/>
      <c r="B166" s="383"/>
      <c r="C166" s="383"/>
      <c r="D166" s="383"/>
      <c r="E166" s="383"/>
      <c r="F166" s="383"/>
      <c r="G166" s="379"/>
    </row>
    <row r="167" spans="1:7" s="378" customFormat="1">
      <c r="A167" s="383"/>
      <c r="B167" s="383"/>
      <c r="C167" s="383"/>
      <c r="D167" s="383"/>
      <c r="E167" s="383"/>
      <c r="F167" s="383"/>
      <c r="G167" s="379"/>
    </row>
    <row r="168" spans="1:7" s="378" customFormat="1">
      <c r="A168" s="383"/>
      <c r="B168" s="383"/>
      <c r="C168" s="383"/>
      <c r="D168" s="383"/>
      <c r="E168" s="383"/>
      <c r="F168" s="383"/>
      <c r="G168" s="379"/>
    </row>
    <row r="169" spans="1:7" s="378" customFormat="1">
      <c r="A169" s="383"/>
      <c r="B169" s="383"/>
      <c r="C169" s="383"/>
      <c r="D169" s="383"/>
      <c r="E169" s="383"/>
      <c r="F169" s="383"/>
      <c r="G169" s="379"/>
    </row>
    <row r="170" spans="1:7" s="378" customFormat="1">
      <c r="A170" s="383"/>
      <c r="B170" s="383"/>
      <c r="C170" s="383"/>
      <c r="D170" s="383"/>
      <c r="E170" s="383"/>
      <c r="F170" s="383"/>
      <c r="G170" s="379"/>
    </row>
    <row r="171" spans="1:7" s="378" customFormat="1">
      <c r="A171" s="383"/>
      <c r="B171" s="383"/>
      <c r="C171" s="383"/>
      <c r="D171" s="383"/>
      <c r="E171" s="383"/>
      <c r="F171" s="383"/>
      <c r="G171" s="379"/>
    </row>
    <row r="172" spans="1:7" s="378" customFormat="1">
      <c r="A172" s="383"/>
      <c r="B172" s="383"/>
      <c r="C172" s="383"/>
      <c r="D172" s="383"/>
      <c r="E172" s="383"/>
      <c r="F172" s="383"/>
      <c r="G172" s="379"/>
    </row>
    <row r="173" spans="1:7" s="378" customFormat="1">
      <c r="A173" s="383"/>
      <c r="B173" s="383"/>
      <c r="C173" s="383"/>
      <c r="D173" s="383"/>
      <c r="E173" s="383"/>
      <c r="F173" s="383"/>
      <c r="G173" s="379"/>
    </row>
    <row r="174" spans="1:7" s="378" customFormat="1">
      <c r="A174" s="383"/>
      <c r="B174" s="383"/>
      <c r="C174" s="383"/>
      <c r="D174" s="383"/>
      <c r="E174" s="383"/>
      <c r="F174" s="383"/>
      <c r="G174" s="379"/>
    </row>
    <row r="175" spans="1:7" s="378" customFormat="1">
      <c r="A175" s="383"/>
      <c r="B175" s="383"/>
      <c r="C175" s="383"/>
      <c r="D175" s="383"/>
      <c r="E175" s="383"/>
      <c r="F175" s="383"/>
      <c r="G175" s="379"/>
    </row>
    <row r="176" spans="1:7" s="378" customFormat="1">
      <c r="A176" s="383"/>
      <c r="B176" s="383"/>
      <c r="C176" s="383"/>
      <c r="D176" s="383"/>
      <c r="E176" s="383"/>
      <c r="F176" s="383"/>
      <c r="G176" s="379"/>
    </row>
    <row r="177" spans="1:7" s="378" customFormat="1">
      <c r="A177" s="383"/>
      <c r="B177" s="383"/>
      <c r="C177" s="383"/>
      <c r="D177" s="383"/>
      <c r="E177" s="383"/>
      <c r="F177" s="383"/>
      <c r="G177" s="379"/>
    </row>
    <row r="178" spans="1:7" s="378" customFormat="1">
      <c r="A178" s="383"/>
      <c r="B178" s="383"/>
      <c r="C178" s="383"/>
      <c r="D178" s="383"/>
      <c r="E178" s="383"/>
      <c r="F178" s="383"/>
      <c r="G178" s="379"/>
    </row>
    <row r="179" spans="1:7" s="378" customFormat="1">
      <c r="A179" s="383"/>
      <c r="B179" s="383"/>
      <c r="C179" s="383"/>
      <c r="D179" s="383"/>
      <c r="E179" s="383"/>
      <c r="F179" s="383"/>
      <c r="G179" s="379"/>
    </row>
    <row r="180" spans="1:7" s="378" customFormat="1">
      <c r="A180" s="383"/>
      <c r="B180" s="383"/>
      <c r="C180" s="383"/>
      <c r="D180" s="383"/>
      <c r="E180" s="383"/>
      <c r="F180" s="383"/>
      <c r="G180" s="379"/>
    </row>
    <row r="181" spans="1:7" s="378" customFormat="1">
      <c r="A181" s="383"/>
      <c r="B181" s="383"/>
      <c r="C181" s="383"/>
      <c r="D181" s="383"/>
      <c r="E181" s="383"/>
      <c r="F181" s="383"/>
      <c r="G181" s="379"/>
    </row>
    <row r="182" spans="1:7">
      <c r="A182" s="383"/>
      <c r="B182" s="383"/>
    </row>
    <row r="183" spans="1:7">
      <c r="A183" s="383"/>
      <c r="B183" s="383"/>
    </row>
    <row r="184" spans="1:7" s="378" customFormat="1">
      <c r="A184" s="383"/>
      <c r="B184" s="383"/>
    </row>
    <row r="187" spans="1:7">
      <c r="B187" s="378"/>
    </row>
    <row r="191" spans="1:7" s="378" customFormat="1">
      <c r="B191" s="349"/>
    </row>
    <row r="194" spans="1:2">
      <c r="B194" s="378"/>
    </row>
    <row r="196" spans="1:2" s="378" customFormat="1">
      <c r="B196" s="349"/>
    </row>
    <row r="201" spans="1:2" s="378" customFormat="1">
      <c r="B201" s="349"/>
    </row>
    <row r="205" spans="1:2">
      <c r="A205" s="380"/>
    </row>
    <row r="206" spans="1:2">
      <c r="A206" s="380"/>
    </row>
    <row r="207" spans="1:2">
      <c r="A207" s="380"/>
    </row>
  </sheetData>
  <sheetProtection password="FFED" sheet="1" objects="1" scenarios="1" selectLockedCells="1" selectUnlockedCells="1"/>
  <mergeCells count="2">
    <mergeCell ref="A9:B9"/>
    <mergeCell ref="A1:B1"/>
  </mergeCells>
  <printOptions horizontalCentered="1"/>
  <pageMargins left="0.5" right="0.5" top="1.25" bottom="0.75" header="0.75" footer="0.5"/>
  <pageSetup orientation="portrait" cellComments="asDisplayed" verticalDpi="300" r:id="rId1"/>
  <headerFooter alignWithMargins="0">
    <oddHeader>&amp;L&amp;"Trebuchet MS,Regular"Calibration of LPG Provers&amp;R&amp;"Trebuchet MS,Regular"WAMRF-014, Rev. 21, 3/26/2010</oddHeader>
    <oddFooter>&amp;L&amp;"Trebuchet MS,Regular"&amp;F&amp;R&amp;"Trebuchet MS,Regular"&amp;A Worksheet Page &amp;P of &amp;N</odd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sheetPr enableFormatConditionsCalculation="0">
    <tabColor indexed="13"/>
  </sheetPr>
  <dimension ref="A1:U137"/>
  <sheetViews>
    <sheetView showGridLines="0" zoomScaleNormal="100" workbookViewId="0"/>
  </sheetViews>
  <sheetFormatPr defaultColWidth="0" defaultRowHeight="18" zeroHeight="1"/>
  <cols>
    <col min="1" max="7" width="10.77734375" style="304" customWidth="1"/>
    <col min="8" max="8" width="2.44140625" style="304" customWidth="1"/>
    <col min="9" max="10" width="9.77734375" style="304" hidden="1" customWidth="1"/>
    <col min="11" max="16384" width="0" style="304" hidden="1"/>
  </cols>
  <sheetData>
    <row r="1" spans="3:5" s="298" customFormat="1" ht="15.75"/>
    <row r="2" spans="3:5" s="298" customFormat="1" ht="15.75"/>
    <row r="3" spans="3:5" s="298" customFormat="1" ht="15.75"/>
    <row r="4" spans="3:5" s="298" customFormat="1" ht="15.75"/>
    <row r="5" spans="3:5" s="298" customFormat="1" ht="15.75">
      <c r="D5" s="299" t="s">
        <v>269</v>
      </c>
    </row>
    <row r="6" spans="3:5" s="298" customFormat="1">
      <c r="D6" s="300" t="s">
        <v>270</v>
      </c>
    </row>
    <row r="7" spans="3:5" s="298" customFormat="1" ht="16.5">
      <c r="D7" s="301" t="s">
        <v>271</v>
      </c>
    </row>
    <row r="8" spans="3:5" s="298" customFormat="1" ht="17.25">
      <c r="D8" s="302" t="s">
        <v>272</v>
      </c>
    </row>
    <row r="9" spans="3:5" s="298" customFormat="1" ht="16.5">
      <c r="D9" s="303" t="s">
        <v>300</v>
      </c>
    </row>
    <row r="10" spans="3:5"/>
    <row r="11" spans="3:5" ht="23.25">
      <c r="D11" s="305" t="s">
        <v>273</v>
      </c>
    </row>
    <row r="12" spans="3:5"/>
    <row r="13" spans="3:5">
      <c r="D13" s="306" t="s">
        <v>274</v>
      </c>
    </row>
    <row r="14" spans="3:5" ht="18" customHeight="1">
      <c r="C14" s="366"/>
      <c r="D14" s="367" t="str">
        <f>IF(ISBLANK('LPG Prover Data Entry'!A4),"",'LPG Prover Data Entry'!A4)</f>
        <v/>
      </c>
      <c r="E14" s="366"/>
    </row>
    <row r="15" spans="3:5" ht="18" customHeight="1">
      <c r="C15" s="366"/>
      <c r="D15" s="367" t="str">
        <f>IF(ISBLANK('LPG Prover Data Entry'!A5),"",'LPG Prover Data Entry'!A5)</f>
        <v/>
      </c>
      <c r="E15" s="366"/>
    </row>
    <row r="16" spans="3:5" ht="18" customHeight="1">
      <c r="C16" s="366"/>
      <c r="D16" s="367" t="str">
        <f>IF(ISBLANK('LPG Prover Data Entry'!A6),"",'LPG Prover Data Entry'!A6)</f>
        <v/>
      </c>
      <c r="E16" s="366"/>
    </row>
    <row r="17" spans="3:5" ht="18" customHeight="1">
      <c r="C17" s="366"/>
      <c r="D17" s="367" t="str">
        <f>IF(ISBLANK('LPG Prover Data Entry'!A7),"",'LPG Prover Data Entry'!A7)</f>
        <v/>
      </c>
      <c r="E17" s="366"/>
    </row>
    <row r="18" spans="3:5" ht="12" customHeight="1">
      <c r="D18" s="307"/>
    </row>
    <row r="19" spans="3:5" s="298" customFormat="1" ht="16.5">
      <c r="D19" s="308" t="s">
        <v>275</v>
      </c>
    </row>
    <row r="20" spans="3:5" s="298" customFormat="1">
      <c r="D20" s="309" t="str">
        <f>IF(ISBLANK(POC.Name),"",POC.Name)</f>
        <v/>
      </c>
    </row>
    <row r="21" spans="3:5" s="298" customFormat="1">
      <c r="D21" s="309" t="str">
        <f>IF(POC.Phone="","","Ph. "&amp;POC.Phone)</f>
        <v/>
      </c>
    </row>
    <row r="22" spans="3:5" ht="12" customHeight="1">
      <c r="D22" s="307"/>
    </row>
    <row r="23" spans="3:5" s="298" customFormat="1" ht="16.5">
      <c r="D23" s="308" t="s">
        <v>276</v>
      </c>
    </row>
    <row r="24" spans="3:5">
      <c r="D24" s="310" t="str">
        <f>IF(ISBLANK(PO.No),"",PO.No)</f>
        <v/>
      </c>
    </row>
    <row r="25" spans="3:5" ht="12" customHeight="1">
      <c r="D25" s="307"/>
    </row>
    <row r="26" spans="3:5">
      <c r="D26" s="311" t="s">
        <v>154</v>
      </c>
    </row>
    <row r="27" spans="3:5">
      <c r="D27" s="312" t="str">
        <f>IF(ISBLANK(RptNo),"",RptNo)</f>
        <v/>
      </c>
    </row>
    <row r="28" spans="3:5" ht="12" customHeight="1">
      <c r="D28" s="307"/>
    </row>
    <row r="29" spans="3:5">
      <c r="D29" s="313" t="str">
        <f>IF(ISBLANK(Cal_Date),"Calibration Date","Calibration Date: "&amp;TEXT(Cal_Date,"mmmm d, yyyy"))</f>
        <v>Calibration Date</v>
      </c>
    </row>
    <row r="30" spans="3:5" ht="12" customHeight="1">
      <c r="D30" s="307"/>
    </row>
    <row r="31" spans="3:5">
      <c r="D31" s="313" t="str">
        <f>IF(ISBLANK(Cal_Date),"Calibration Due Date",IF(intervalQ="yes","Calibration Due Date: "&amp;TEXT(DATE(YEAR(Cal_Date),MONTH(Cal_Date)+interval,DAY(Cal_Date)),"mmmm d, yyyy"),""))</f>
        <v>Calibration Due Date</v>
      </c>
    </row>
    <row r="32" spans="3:5" ht="12" customHeight="1">
      <c r="D32" s="307"/>
    </row>
    <row r="33" spans="1:21">
      <c r="A33" s="485" t="s">
        <v>277</v>
      </c>
      <c r="B33" s="485"/>
      <c r="C33" s="485"/>
      <c r="D33" s="485"/>
      <c r="E33" s="485"/>
      <c r="F33" s="485"/>
      <c r="G33" s="485"/>
    </row>
    <row r="34" spans="1:21">
      <c r="A34" s="485"/>
      <c r="B34" s="485"/>
      <c r="C34" s="485"/>
      <c r="D34" s="485"/>
      <c r="E34" s="485"/>
      <c r="F34" s="485"/>
      <c r="G34" s="485"/>
    </row>
    <row r="35" spans="1:21"/>
    <row r="36" spans="1:21">
      <c r="D36" s="307"/>
    </row>
    <row r="37" spans="1:21">
      <c r="A37" s="314"/>
      <c r="B37" s="314"/>
      <c r="C37" s="314"/>
      <c r="D37" s="307"/>
      <c r="F37" s="314"/>
      <c r="G37" s="314"/>
    </row>
    <row r="38" spans="1:21" s="315" customFormat="1" ht="15">
      <c r="A38" s="315" t="s">
        <v>314</v>
      </c>
      <c r="D38" s="316"/>
      <c r="F38" s="484" t="s">
        <v>278</v>
      </c>
      <c r="G38" s="484"/>
    </row>
    <row r="39" spans="1:21" s="317" customFormat="1" ht="12" customHeight="1">
      <c r="A39" s="304"/>
      <c r="D39" s="318"/>
    </row>
    <row r="40" spans="1:21" s="317" customFormat="1">
      <c r="A40" s="304"/>
      <c r="D40" s="318"/>
    </row>
    <row r="41" spans="1:21" s="298" customFormat="1" ht="52.5" customHeight="1">
      <c r="A41" s="482" t="s">
        <v>550</v>
      </c>
      <c r="B41" s="482"/>
      <c r="C41" s="483" t="s">
        <v>551</v>
      </c>
      <c r="D41" s="483"/>
      <c r="E41" s="483"/>
      <c r="F41" s="483"/>
      <c r="G41" s="483"/>
      <c r="I41" s="40"/>
      <c r="J41" s="319"/>
      <c r="K41" s="320"/>
    </row>
    <row r="42" spans="1:21" ht="19.5">
      <c r="A42" s="489" t="s">
        <v>279</v>
      </c>
      <c r="B42" s="489"/>
      <c r="C42" s="489"/>
      <c r="D42" s="489"/>
      <c r="E42" s="489"/>
      <c r="F42" s="489"/>
      <c r="G42" s="489"/>
      <c r="H42" s="321"/>
    </row>
    <row r="43" spans="1:21" s="323" customFormat="1">
      <c r="A43" s="304" t="str">
        <f>"Report Number: "&amp;RptNo</f>
        <v xml:space="preserve">Report Number: </v>
      </c>
      <c r="B43" s="304"/>
      <c r="C43" s="304"/>
      <c r="D43" s="304"/>
      <c r="E43" s="304"/>
      <c r="F43" s="304"/>
      <c r="G43" s="322" t="str">
        <f>IF(ISBLANK(Cal_Date),"Calibration Date","Calibration Date: "&amp;TEXT(Cal_Date,"mmmm d, yyyy"))</f>
        <v>Calibration Date</v>
      </c>
      <c r="H43" s="304"/>
    </row>
    <row r="44" spans="1:21" s="323" customFormat="1" ht="12" customHeight="1">
      <c r="B44" s="324"/>
      <c r="C44" s="324"/>
      <c r="D44" s="324"/>
      <c r="E44" s="324"/>
      <c r="F44" s="324"/>
      <c r="O44" s="325"/>
    </row>
    <row r="45" spans="1:21">
      <c r="A45" s="326" t="s">
        <v>280</v>
      </c>
      <c r="B45" s="324"/>
      <c r="C45" s="324"/>
      <c r="D45" s="324"/>
      <c r="E45" s="324"/>
      <c r="F45" s="324"/>
      <c r="G45" s="327"/>
    </row>
    <row r="46" spans="1:21" s="315" customFormat="1" ht="15.75" customHeight="1">
      <c r="A46" s="328" t="s">
        <v>281</v>
      </c>
      <c r="B46" s="329" t="str">
        <f>IF(ISBLANK(Description),"",Nom_Val&amp;IF(NomValUnit="Nominal Volume (gal)"," gal "," L ")&amp;Description)</f>
        <v xml:space="preserve"> gal LPG Prover</v>
      </c>
      <c r="C46" s="330"/>
      <c r="D46" s="330"/>
      <c r="E46" s="331" t="s">
        <v>282</v>
      </c>
      <c r="F46" s="329" t="str">
        <f>IF(ISBLANK(WODate),"",TEXT(WODate,"mmmm d, yyyy"))</f>
        <v/>
      </c>
      <c r="G46" s="330"/>
      <c r="O46" s="304"/>
      <c r="P46" s="304"/>
      <c r="Q46" s="304"/>
      <c r="R46" s="304"/>
      <c r="S46" s="304"/>
      <c r="T46" s="304"/>
      <c r="U46" s="304"/>
    </row>
    <row r="47" spans="1:21" s="315" customFormat="1" ht="15.75" customHeight="1">
      <c r="A47" s="328" t="s">
        <v>284</v>
      </c>
      <c r="B47" s="329" t="str">
        <f>IF(ISBLANK(SN),"",SN)</f>
        <v/>
      </c>
      <c r="C47" s="330"/>
      <c r="D47" s="330"/>
      <c r="E47" s="328" t="s">
        <v>285</v>
      </c>
      <c r="F47" s="329" t="str">
        <f>IF(ISBLANK(MFG),"",MFG)</f>
        <v/>
      </c>
      <c r="G47" s="330"/>
      <c r="O47" s="304"/>
      <c r="P47" s="304"/>
      <c r="Q47" s="304"/>
      <c r="R47" s="304"/>
      <c r="S47" s="304"/>
      <c r="T47" s="304"/>
      <c r="U47" s="304"/>
    </row>
    <row r="48" spans="1:21" s="315" customFormat="1" ht="15.75" customHeight="1">
      <c r="A48" s="332" t="s">
        <v>286</v>
      </c>
      <c r="B48" s="329" t="str">
        <f>IF(ISBLANK(Material),"",Material)</f>
        <v/>
      </c>
      <c r="C48" s="330"/>
      <c r="D48" s="330"/>
      <c r="E48" s="331" t="s">
        <v>310</v>
      </c>
      <c r="F48" s="329" t="str">
        <f>IF(ISBLANK(Material),"",IF(RefTempUnit="Designated Reference Temperature For This Calibration (ºC)",VLOOKUP(Material,CCE.Table,2)*1.8&amp;" / ºC",VLOOKUP(Material,CCE.Table,2)&amp;" / ºF"))</f>
        <v/>
      </c>
      <c r="G48" s="330"/>
      <c r="O48" s="304"/>
      <c r="P48" s="304"/>
      <c r="Q48" s="304"/>
      <c r="R48" s="304"/>
      <c r="S48" s="304"/>
      <c r="T48" s="304"/>
      <c r="U48" s="304"/>
    </row>
    <row r="49" spans="1:21" s="315" customFormat="1" ht="15.75" customHeight="1">
      <c r="A49" s="332" t="s">
        <v>292</v>
      </c>
      <c r="B49" s="337" t="str">
        <f>IF(ISBLANK(Condition),"",Condition)</f>
        <v/>
      </c>
      <c r="E49" s="328" t="s">
        <v>283</v>
      </c>
      <c r="F49" s="329" t="s">
        <v>302</v>
      </c>
      <c r="G49" s="330"/>
      <c r="O49" s="304"/>
      <c r="P49" s="304"/>
      <c r="Q49" s="304"/>
      <c r="R49" s="304"/>
      <c r="S49" s="304"/>
      <c r="T49" s="304"/>
      <c r="U49" s="304"/>
    </row>
    <row r="50" spans="1:21" s="315" customFormat="1" ht="12" customHeight="1"/>
    <row r="51" spans="1:21">
      <c r="A51" s="335" t="s">
        <v>287</v>
      </c>
      <c r="B51" s="323"/>
      <c r="C51" s="323"/>
      <c r="D51" s="323"/>
      <c r="G51" s="336"/>
    </row>
    <row r="52" spans="1:21" s="315" customFormat="1" ht="15.75" customHeight="1">
      <c r="A52" s="331" t="s">
        <v>313</v>
      </c>
      <c r="B52" s="329" t="str">
        <f>IF(ISBLANK(RptNo),"",RptNo)</f>
        <v/>
      </c>
      <c r="E52" s="328" t="s">
        <v>289</v>
      </c>
      <c r="F52" s="337" t="str">
        <f>IF(AirTemp="","",FIXED(AVERAGE(AirTemp,AirTemp_F),1)&amp;" ºC")</f>
        <v/>
      </c>
    </row>
    <row r="53" spans="1:21" s="315" customFormat="1" ht="15.75" customHeight="1">
      <c r="A53" s="328" t="s">
        <v>288</v>
      </c>
      <c r="B53" s="337" t="str">
        <f>IF(ISBLANK(Tech),"",Tech)</f>
        <v/>
      </c>
      <c r="E53" s="328" t="s">
        <v>291</v>
      </c>
      <c r="F53" s="337" t="str">
        <f>IF(Humidity="","",FIXED(AVERAGE(Humidity,Humidity_F),1)&amp;" % RH")</f>
        <v/>
      </c>
    </row>
    <row r="54" spans="1:21" s="315" customFormat="1" ht="15.75" customHeight="1">
      <c r="A54" s="328" t="s">
        <v>290</v>
      </c>
      <c r="B54" s="337" t="s">
        <v>369</v>
      </c>
      <c r="E54" s="328" t="s">
        <v>293</v>
      </c>
      <c r="F54" s="337" t="str">
        <f>IF(t_1="","",FIXED(AVERAGE(t_1,t_2),1)&amp;" "&amp;CHAR(186)&amp;"C")</f>
        <v/>
      </c>
    </row>
    <row r="55" spans="1:21" s="315" customFormat="1" ht="9" customHeight="1">
      <c r="A55" s="333"/>
      <c r="B55" s="334"/>
      <c r="E55" s="328"/>
      <c r="F55" s="337"/>
    </row>
    <row r="56" spans="1:21" ht="15.75" customHeight="1">
      <c r="A56" s="338" t="s">
        <v>294</v>
      </c>
      <c r="B56" s="314"/>
      <c r="C56" s="314"/>
      <c r="D56" s="314"/>
      <c r="E56" s="339"/>
      <c r="F56" s="314"/>
      <c r="G56" s="314"/>
    </row>
    <row r="57" spans="1:21" ht="15.75" customHeight="1">
      <c r="A57" s="374" t="s">
        <v>8</v>
      </c>
      <c r="B57" s="374"/>
      <c r="C57" s="375" t="s">
        <v>5</v>
      </c>
      <c r="D57" s="491" t="s">
        <v>295</v>
      </c>
      <c r="E57" s="491"/>
      <c r="F57" s="376" t="s">
        <v>296</v>
      </c>
      <c r="G57" s="376" t="s">
        <v>297</v>
      </c>
    </row>
    <row r="58" spans="1:21" ht="15.75" customHeight="1">
      <c r="A58" s="487">
        <f>'LPG Prover Data Entry'!B24</f>
        <v>0</v>
      </c>
      <c r="B58" s="487"/>
      <c r="C58" s="341">
        <f>'LPG Prover Data Entry'!D24</f>
        <v>0</v>
      </c>
      <c r="D58" s="488">
        <f>'LPG Prover Data Entry'!F24</f>
        <v>0</v>
      </c>
      <c r="E58" s="488"/>
      <c r="F58" s="343">
        <f>'LPG Prover Data Entry'!H24</f>
        <v>0</v>
      </c>
      <c r="G58" s="343">
        <f>'LPG Prover Data Entry'!I24</f>
        <v>0</v>
      </c>
    </row>
    <row r="59" spans="1:21" ht="15.75" customHeight="1">
      <c r="A59" s="487">
        <f>'LPG Prover Data Entry'!B25</f>
        <v>0</v>
      </c>
      <c r="B59" s="487"/>
      <c r="C59" s="341">
        <f>'LPG Prover Data Entry'!D25</f>
        <v>0</v>
      </c>
      <c r="D59" s="488">
        <f>'LPG Prover Data Entry'!F25</f>
        <v>0</v>
      </c>
      <c r="E59" s="488"/>
      <c r="F59" s="343">
        <f>'LPG Prover Data Entry'!H25</f>
        <v>0</v>
      </c>
      <c r="G59" s="343">
        <f>'LPG Prover Data Entry'!I25</f>
        <v>0</v>
      </c>
    </row>
    <row r="60" spans="1:21" ht="15.75" customHeight="1">
      <c r="A60" s="487">
        <f>'LPG Prover Data Entry'!B26</f>
        <v>0</v>
      </c>
      <c r="B60" s="487"/>
      <c r="C60" s="341">
        <f>'LPG Prover Data Entry'!D26</f>
        <v>0</v>
      </c>
      <c r="D60" s="488">
        <f>'LPG Prover Data Entry'!F26</f>
        <v>0</v>
      </c>
      <c r="E60" s="488"/>
      <c r="F60" s="343">
        <f>'LPG Prover Data Entry'!H26</f>
        <v>0</v>
      </c>
      <c r="G60" s="343">
        <f>'LPG Prover Data Entry'!I26</f>
        <v>0</v>
      </c>
    </row>
    <row r="61" spans="1:21" ht="15.75" customHeight="1">
      <c r="A61" s="487">
        <f>'LPG Prover Data Entry'!B27</f>
        <v>0</v>
      </c>
      <c r="B61" s="487"/>
      <c r="C61" s="341">
        <f>'LPG Prover Data Entry'!D27</f>
        <v>0</v>
      </c>
      <c r="D61" s="488">
        <f>'LPG Prover Data Entry'!F27</f>
        <v>0</v>
      </c>
      <c r="E61" s="488"/>
      <c r="F61" s="343">
        <f>'LPG Prover Data Entry'!H27</f>
        <v>0</v>
      </c>
      <c r="G61" s="343">
        <f>'LPG Prover Data Entry'!I27</f>
        <v>0</v>
      </c>
    </row>
    <row r="62" spans="1:21" ht="15.75" customHeight="1">
      <c r="A62" s="487">
        <f>'LPG Prover Data Entry'!B28</f>
        <v>0</v>
      </c>
      <c r="B62" s="487"/>
      <c r="C62" s="341">
        <f>'LPG Prover Data Entry'!D28</f>
        <v>0</v>
      </c>
      <c r="D62" s="488">
        <f>'LPG Prover Data Entry'!F28</f>
        <v>0</v>
      </c>
      <c r="E62" s="488"/>
      <c r="F62" s="343">
        <f>'LPG Prover Data Entry'!H28</f>
        <v>0</v>
      </c>
      <c r="G62" s="343">
        <f>'LPG Prover Data Entry'!I28</f>
        <v>0</v>
      </c>
    </row>
    <row r="63" spans="1:21" ht="15.75" customHeight="1">
      <c r="A63" s="487">
        <f>'LPG Prover Data Entry'!B29</f>
        <v>0</v>
      </c>
      <c r="B63" s="487"/>
      <c r="C63" s="341">
        <f>'LPG Prover Data Entry'!D29</f>
        <v>0</v>
      </c>
      <c r="D63" s="488">
        <f>'LPG Prover Data Entry'!F29</f>
        <v>0</v>
      </c>
      <c r="E63" s="488"/>
      <c r="F63" s="343">
        <f>'LPG Prover Data Entry'!H29</f>
        <v>0</v>
      </c>
      <c r="G63" s="343">
        <f>'LPG Prover Data Entry'!I29</f>
        <v>0</v>
      </c>
    </row>
    <row r="64" spans="1:21" ht="15.75" customHeight="1">
      <c r="A64" s="487">
        <f>'LPG Prover Data Entry'!B30</f>
        <v>0</v>
      </c>
      <c r="B64" s="487"/>
      <c r="C64" s="341">
        <f>'LPG Prover Data Entry'!D30</f>
        <v>0</v>
      </c>
      <c r="D64" s="488">
        <f>'LPG Prover Data Entry'!F30</f>
        <v>0</v>
      </c>
      <c r="E64" s="488"/>
      <c r="F64" s="343">
        <f>'LPG Prover Data Entry'!H30</f>
        <v>0</v>
      </c>
      <c r="G64" s="343">
        <f>'LPG Prover Data Entry'!I30</f>
        <v>0</v>
      </c>
    </row>
    <row r="65" spans="1:15" ht="15.75" customHeight="1">
      <c r="A65" s="487">
        <f>'LPG Prover Data Entry'!B31</f>
        <v>0</v>
      </c>
      <c r="B65" s="487"/>
      <c r="C65" s="341">
        <f>'LPG Prover Data Entry'!D31</f>
        <v>0</v>
      </c>
      <c r="D65" s="488">
        <f>'LPG Prover Data Entry'!F31</f>
        <v>0</v>
      </c>
      <c r="E65" s="488"/>
      <c r="F65" s="343">
        <f>'LPG Prover Data Entry'!H31</f>
        <v>0</v>
      </c>
      <c r="G65" s="343">
        <f>'LPG Prover Data Entry'!I31</f>
        <v>0</v>
      </c>
    </row>
    <row r="66" spans="1:15" ht="12" customHeight="1">
      <c r="A66" s="340"/>
      <c r="B66" s="340"/>
      <c r="C66" s="341"/>
      <c r="D66" s="342"/>
      <c r="E66" s="342"/>
      <c r="F66" s="343"/>
      <c r="G66" s="343"/>
    </row>
    <row r="67" spans="1:15">
      <c r="A67" s="335" t="s">
        <v>45</v>
      </c>
      <c r="B67" s="323"/>
      <c r="C67" s="323"/>
      <c r="D67" s="323"/>
      <c r="E67" s="323"/>
      <c r="F67" s="323"/>
      <c r="G67" s="336"/>
    </row>
    <row r="68" spans="1:15" ht="94.5" customHeight="1">
      <c r="A68" s="490" t="s">
        <v>304</v>
      </c>
      <c r="B68" s="490"/>
      <c r="C68" s="490"/>
      <c r="D68" s="490"/>
      <c r="E68" s="490"/>
      <c r="F68" s="490"/>
      <c r="G68" s="490"/>
    </row>
    <row r="69" spans="1:15" ht="12" customHeight="1">
      <c r="A69" s="344"/>
      <c r="B69" s="344"/>
      <c r="C69" s="344"/>
      <c r="D69" s="344"/>
      <c r="E69" s="344"/>
      <c r="F69" s="344"/>
      <c r="G69" s="344"/>
    </row>
    <row r="70" spans="1:15">
      <c r="A70" s="335" t="s">
        <v>46</v>
      </c>
      <c r="B70" s="323"/>
      <c r="C70" s="323"/>
      <c r="D70" s="323"/>
      <c r="E70" s="323"/>
      <c r="F70" s="323"/>
      <c r="G70" s="336"/>
    </row>
    <row r="71" spans="1:15" ht="105" customHeight="1">
      <c r="A71" s="486" t="s">
        <v>370</v>
      </c>
      <c r="B71" s="486"/>
      <c r="C71" s="486"/>
      <c r="D71" s="486"/>
      <c r="E71" s="486"/>
      <c r="F71" s="486"/>
      <c r="G71" s="486"/>
    </row>
    <row r="72" spans="1:15" ht="12" customHeight="1">
      <c r="A72" s="208"/>
      <c r="B72" s="208"/>
      <c r="C72" s="208"/>
      <c r="D72" s="208"/>
      <c r="E72" s="208"/>
      <c r="F72" s="208"/>
      <c r="G72" s="208"/>
    </row>
    <row r="73" spans="1:15">
      <c r="A73" s="335" t="s">
        <v>47</v>
      </c>
      <c r="B73" s="323"/>
      <c r="C73" s="323"/>
      <c r="D73" s="323"/>
      <c r="E73" s="323"/>
      <c r="F73" s="323"/>
      <c r="G73" s="336"/>
    </row>
    <row r="74" spans="1:15" ht="47.25" customHeight="1">
      <c r="A74" s="486" t="s">
        <v>552</v>
      </c>
      <c r="B74" s="486"/>
      <c r="C74" s="486"/>
      <c r="D74" s="486"/>
      <c r="E74" s="486"/>
      <c r="F74" s="486"/>
      <c r="G74" s="486"/>
    </row>
    <row r="75" spans="1:15" ht="19.5">
      <c r="A75" s="489" t="s">
        <v>279</v>
      </c>
      <c r="B75" s="489"/>
      <c r="C75" s="489"/>
      <c r="D75" s="489"/>
      <c r="E75" s="489"/>
      <c r="F75" s="489"/>
      <c r="G75" s="489"/>
      <c r="H75" s="321"/>
    </row>
    <row r="76" spans="1:15" s="323" customFormat="1">
      <c r="A76" s="304" t="str">
        <f>"Report Number: "&amp;RptNo</f>
        <v xml:space="preserve">Report Number: </v>
      </c>
      <c r="B76" s="304"/>
      <c r="C76" s="304"/>
      <c r="D76" s="304"/>
      <c r="E76" s="304"/>
      <c r="F76" s="304"/>
      <c r="G76" s="322" t="str">
        <f>IF(ISBLANK(Cal_Date),"Calibration Date","Calibration Date: "&amp;TEXT(Cal_Date,"mmmm d, yyyy"))</f>
        <v>Calibration Date</v>
      </c>
      <c r="H76" s="304"/>
    </row>
    <row r="77" spans="1:15" s="323" customFormat="1" ht="12" customHeight="1">
      <c r="B77" s="324"/>
      <c r="C77" s="324"/>
      <c r="D77" s="324"/>
      <c r="E77" s="324"/>
      <c r="F77" s="324"/>
      <c r="O77" s="325"/>
    </row>
    <row r="78" spans="1:15" ht="24" customHeight="1">
      <c r="A78" s="335" t="s">
        <v>298</v>
      </c>
      <c r="B78" s="323"/>
      <c r="C78" s="323"/>
      <c r="D78" s="323"/>
      <c r="E78" s="323"/>
      <c r="F78" s="323"/>
      <c r="G78" s="336"/>
    </row>
    <row r="79" spans="1:15" ht="63" customHeight="1">
      <c r="A79" s="494" t="s">
        <v>305</v>
      </c>
      <c r="B79" s="494"/>
      <c r="C79" s="494"/>
      <c r="D79" s="494"/>
      <c r="E79" s="494"/>
      <c r="F79" s="494"/>
      <c r="G79" s="494"/>
    </row>
    <row r="80" spans="1:15" ht="78.75" customHeight="1">
      <c r="A80" s="494" t="s">
        <v>306</v>
      </c>
      <c r="B80" s="494"/>
      <c r="C80" s="494"/>
      <c r="D80" s="494"/>
      <c r="E80" s="494"/>
      <c r="F80" s="494"/>
      <c r="G80" s="494"/>
    </row>
    <row r="81" spans="1:7" ht="31.5" customHeight="1">
      <c r="A81" s="493" t="s">
        <v>301</v>
      </c>
      <c r="B81" s="493"/>
      <c r="C81" s="493"/>
      <c r="D81" s="493"/>
      <c r="E81" s="493"/>
      <c r="F81" s="493"/>
      <c r="G81" s="493"/>
    </row>
    <row r="82" spans="1:7" ht="31.5" customHeight="1">
      <c r="A82" s="493" t="str">
        <f>IF(Nom_Val="","● The "&amp;Description&amp;" 'As Left' volume is 'In-Tolerance', the prover may be used in meter testing without a correction.",IF(ABS($C$5-Nom_Val)&gt;$D$5,"●  The "&amp;Description&amp;" 'As Left' volume is 'Out-of-Tolerance', the user must use a correction for all meter testing.","● The "&amp;Description&amp;" 'As Left' volume is 'In-Tolerance', the "&amp;Description&amp;" may be used in meter testing without a correction."))</f>
        <v>● The LPG Prover 'As Left' volume is 'In-Tolerance', the prover may be used in meter testing without a correction.</v>
      </c>
      <c r="B82" s="493"/>
      <c r="C82" s="493"/>
      <c r="D82" s="493"/>
      <c r="E82" s="493"/>
      <c r="F82" s="493"/>
      <c r="G82" s="493"/>
    </row>
    <row r="83" spans="1:7" ht="31.5" customHeight="1">
      <c r="A83" s="493" t="s">
        <v>74</v>
      </c>
      <c r="B83" s="493"/>
      <c r="C83" s="493"/>
      <c r="D83" s="493"/>
      <c r="E83" s="493"/>
      <c r="F83" s="493"/>
      <c r="G83" s="493"/>
    </row>
    <row r="84" spans="1:7" ht="31.5" customHeight="1">
      <c r="A84" s="493" t="s">
        <v>307</v>
      </c>
      <c r="B84" s="493"/>
      <c r="C84" s="493"/>
      <c r="D84" s="493"/>
      <c r="E84" s="493"/>
      <c r="F84" s="493"/>
      <c r="G84" s="493"/>
    </row>
    <row r="85" spans="1:7" ht="15.75" customHeight="1">
      <c r="A85" s="493" t="s">
        <v>562</v>
      </c>
      <c r="B85" s="493"/>
      <c r="C85" s="493"/>
      <c r="D85" s="493"/>
      <c r="E85" s="493"/>
      <c r="F85" s="493"/>
      <c r="G85" s="493"/>
    </row>
    <row r="86" spans="1:7" ht="15.75" customHeight="1">
      <c r="A86" s="493" t="str">
        <f>IF(AND(SealNoTop="",ISTEXT(SealNoBottom)),"●  The Bottom Securty Seal Number is "&amp;SealNoBottom&amp;".",IF(AND(ISTEXT(SealNoTop),SealNoBottom=""),"●  The Top Securty Seal Number is "&amp;SealNoTop&amp;".","●  The Top Securty Seal Number is "&amp;SealNoTop&amp;" and the Bottom Security Seal Number is "&amp;SealNoBottom&amp;"."))</f>
        <v>●  The Top Securty Seal Number is  and the Bottom Security Seal Number is .</v>
      </c>
      <c r="B86" s="493"/>
      <c r="C86" s="493"/>
      <c r="D86" s="493"/>
      <c r="E86" s="493"/>
      <c r="F86" s="493"/>
      <c r="G86" s="493"/>
    </row>
    <row r="87" spans="1:7" s="345" customFormat="1" ht="15.75" customHeight="1">
      <c r="A87" s="492" t="s">
        <v>299</v>
      </c>
      <c r="B87" s="492"/>
      <c r="C87" s="492"/>
      <c r="D87" s="492"/>
      <c r="E87" s="492"/>
      <c r="F87" s="492"/>
      <c r="G87" s="492"/>
    </row>
    <row r="88" spans="1:7">
      <c r="A88" s="316"/>
      <c r="B88" s="323"/>
      <c r="C88" s="346"/>
      <c r="D88" s="323"/>
      <c r="E88" s="316"/>
      <c r="F88" s="316"/>
    </row>
    <row r="89" spans="1:7" s="323" customFormat="1" hidden="1">
      <c r="A89" s="347"/>
      <c r="C89" s="348"/>
      <c r="E89" s="347"/>
      <c r="F89" s="347"/>
    </row>
    <row r="90" spans="1:7" s="323" customFormat="1" hidden="1"/>
    <row r="91" spans="1:7" s="323" customFormat="1" hidden="1"/>
    <row r="92" spans="1:7" s="323" customFormat="1" hidden="1"/>
    <row r="93" spans="1:7" s="323" customFormat="1" ht="26.25" hidden="1" customHeight="1"/>
    <row r="94" spans="1:7" hidden="1"/>
    <row r="95" spans="1:7" hidden="1"/>
    <row r="96" spans="1:7" hidden="1"/>
    <row r="97" spans="4:4" hidden="1">
      <c r="D97" s="316"/>
    </row>
    <row r="98" spans="4:4" hidden="1"/>
    <row r="99" spans="4:4" hidden="1"/>
    <row r="100" spans="4:4" hidden="1"/>
    <row r="101" spans="4:4" hidden="1"/>
    <row r="102" spans="4:4" hidden="1"/>
    <row r="103" spans="4:4" hidden="1"/>
    <row r="104" spans="4:4" hidden="1"/>
    <row r="105" spans="4:4" hidden="1"/>
    <row r="106" spans="4:4" hidden="1"/>
    <row r="107" spans="4:4" hidden="1"/>
    <row r="108" spans="4:4" hidden="1"/>
    <row r="109" spans="4:4" hidden="1"/>
    <row r="110" spans="4:4" hidden="1"/>
    <row r="111" spans="4:4" hidden="1"/>
    <row r="112" spans="4:4"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sheetData>
  <sheetProtection password="FFED" sheet="1" objects="1" scenarios="1"/>
  <mergeCells count="35">
    <mergeCell ref="A85:G85"/>
    <mergeCell ref="A79:G79"/>
    <mergeCell ref="A71:G71"/>
    <mergeCell ref="D59:E59"/>
    <mergeCell ref="A62:B62"/>
    <mergeCell ref="A80:G80"/>
    <mergeCell ref="A63:B63"/>
    <mergeCell ref="A64:B64"/>
    <mergeCell ref="D65:E65"/>
    <mergeCell ref="A87:G87"/>
    <mergeCell ref="A83:G83"/>
    <mergeCell ref="A82:G82"/>
    <mergeCell ref="A86:G86"/>
    <mergeCell ref="A84:G84"/>
    <mergeCell ref="D63:E63"/>
    <mergeCell ref="D64:E64"/>
    <mergeCell ref="A75:G75"/>
    <mergeCell ref="A81:G81"/>
    <mergeCell ref="A65:B65"/>
    <mergeCell ref="A42:G42"/>
    <mergeCell ref="A68:G68"/>
    <mergeCell ref="A58:B58"/>
    <mergeCell ref="D57:E57"/>
    <mergeCell ref="D58:E58"/>
    <mergeCell ref="A59:B59"/>
    <mergeCell ref="A41:B41"/>
    <mergeCell ref="C41:G41"/>
    <mergeCell ref="F38:G38"/>
    <mergeCell ref="A33:G34"/>
    <mergeCell ref="A74:G74"/>
    <mergeCell ref="A60:B60"/>
    <mergeCell ref="D60:E60"/>
    <mergeCell ref="A61:B61"/>
    <mergeCell ref="D61:E61"/>
    <mergeCell ref="D62:E62"/>
  </mergeCells>
  <phoneticPr fontId="19" type="noConversion"/>
  <pageMargins left="0.6" right="0.5" top="0.25" bottom="1" header="0.6" footer="0.5"/>
  <pageSetup orientation="portrait" verticalDpi="0" r:id="rId1"/>
  <headerFooter alignWithMargins="0">
    <oddFooter>&amp;L&amp;"Trebuchet MS,Regular"&amp;10WAMRF-014, Rev. 21, 3/26/2010&amp;R&amp;"Trebuchet MS,Regular"&amp;10Page &amp;P of 5</oddFooter>
  </headerFooter>
  <rowBreaks count="2" manualBreakCount="2">
    <brk id="41" max="16383" man="1"/>
    <brk id="74" max="6" man="1"/>
  </rowBreaks>
  <drawing r:id="rId2"/>
</worksheet>
</file>

<file path=xl/worksheets/sheet4.xml><?xml version="1.0" encoding="utf-8"?>
<worksheet xmlns="http://schemas.openxmlformats.org/spreadsheetml/2006/main" xmlns:r="http://schemas.openxmlformats.org/officeDocument/2006/relationships">
  <sheetPr enableFormatConditionsCalculation="0">
    <tabColor indexed="13"/>
    <pageSetUpPr autoPageBreaks="0"/>
  </sheetPr>
  <dimension ref="A1:H197"/>
  <sheetViews>
    <sheetView showGridLines="0" zoomScaleNormal="100" workbookViewId="0">
      <selection sqref="A1:E1"/>
    </sheetView>
  </sheetViews>
  <sheetFormatPr defaultColWidth="0" defaultRowHeight="18" zeroHeight="1"/>
  <cols>
    <col min="1" max="5" width="20.77734375" style="349" customWidth="1"/>
    <col min="6" max="6" width="3.77734375" style="349" customWidth="1"/>
    <col min="7" max="8" width="9.77734375" style="349" hidden="1" customWidth="1"/>
    <col min="9" max="16384" width="8.88671875" style="349" hidden="1"/>
  </cols>
  <sheetData>
    <row r="1" spans="1:6" s="304" customFormat="1" ht="19.5">
      <c r="A1" s="489" t="s">
        <v>279</v>
      </c>
      <c r="B1" s="489"/>
      <c r="C1" s="489"/>
      <c r="D1" s="489"/>
      <c r="E1" s="489"/>
      <c r="F1" s="321"/>
    </row>
    <row r="2" spans="1:6" ht="19.5">
      <c r="A2" s="304" t="str">
        <f>"Report Number: "&amp;RptNo</f>
        <v xml:space="preserve">Report Number: </v>
      </c>
      <c r="C2" s="350"/>
      <c r="E2" s="322" t="str">
        <f>IF(ISBLANK(Cal_Date),"Calibration Date","Calibration Date: "&amp;TEXT(Cal_Date,"mmmm d, yyyy"))</f>
        <v>Calibration Date</v>
      </c>
    </row>
    <row r="3" spans="1:6" ht="18.75" thickBot="1">
      <c r="A3" s="352" t="s">
        <v>303</v>
      </c>
      <c r="B3" s="353"/>
      <c r="C3" s="353"/>
      <c r="D3" s="353"/>
      <c r="E3" s="354"/>
    </row>
    <row r="4" spans="1:6" s="351" customFormat="1" ht="63" customHeight="1">
      <c r="A4" s="355" t="s">
        <v>44</v>
      </c>
      <c r="B4" s="355" t="str">
        <f>"Prover Volume
As Found "&amp;IF(AND(RefTempUnit="Designated Reference Temperature For This Calibration (ºC)",NomValUnit="Nominal Volume (L)"),"@ "&amp;RefT&amp;" ºC
and 100 psig
 (L)",IF(AND(RefTempUnit="Designated Reference Temperature For This Calibration (ºF)",NomValUnit="Nominal Volume (L)"),"@ "&amp;RefT&amp;" ºF
and 100 psig
 (L)",IF(AND(RefTempUnit="Designated Reference Temperature For This Calibration (ºC)",NomValUnit="Nominal Volume (gal)"),"@ "&amp;RefT&amp;" ºC
and 100 psig
 (gal)",IF(AND(RefTempUnit="Designated Reference Temperature For This Calibration (ºF)",NomValUnit="Nominal Volume (gal)"),"@ "&amp;RefT&amp;" ºF
and 100 psig
 (gal)"))))</f>
        <v>Prover Volume
As Found @  ºF
and 100 psig
 (gal)</v>
      </c>
      <c r="C4" s="355" t="str">
        <f>"Prover Volume
As Left "&amp;IF(AND(RefTempUnit="Designated Reference Temperature For This Calibration (ºC)",NomValUnit="Nominal Volume (L)"),"@ "&amp;RefT&amp;" ºC
and 100 psig
 (L)",IF(AND(RefTempUnit="Designated Reference Temperature For This Calibration (ºF)",NomValUnit="Nominal Volume (L)"),"@ "&amp;RefT&amp;" ºF
and 100 psig
 (L)",IF(AND(RefTempUnit="Designated Reference Temperature For This Calibration (ºC)",NomValUnit="Nominal Volume (gal)"),"@ "&amp;RefT&amp;" ºC
and 100 psig
 (gal)",IF(AND(RefTempUnit="Designated Reference Temperature For This Calibration (ºF)",NomValUnit="Nominal Volume (gal)"),"@ "&amp;RefT&amp;" ºF
and 100 psig
 (gal)"))))</f>
        <v>Prover Volume
As Left @  ºF
and 100 psig
 (gal)</v>
      </c>
      <c r="D4" s="355" t="str">
        <f>IF(NomValUnit="Nominal Volume (L)","NIST HB 105-4
Specification Tolerance
"&amp;CHAR(177)&amp;" (L)","NIST HB 105-4
Specification Tolerance
"&amp;CHAR(177)&amp;" (gal)")</f>
        <v>NIST HB 105-4
Specification Tolerance
± (gal)</v>
      </c>
      <c r="E4" s="355" t="str">
        <f>IF(NomValUnit="Nominal Volume (L)","Uncertainty
k=2
± (L)","Uncertainty
k=2
± (gal)")</f>
        <v>Uncertainty
k=2
± (gal)</v>
      </c>
    </row>
    <row r="5" spans="1:6" s="351" customFormat="1" ht="15">
      <c r="A5" s="356" t="str">
        <f>IF(ISBLANK(Nom_Val),"",IF(NomValUnit="Nominal Volume (L)",Nom_Val&amp;" L",Nom_Val&amp;" gal"))</f>
        <v/>
      </c>
      <c r="B5" s="356" t="str">
        <f>IF(AsFound="","",FIXED(AsFound,Calculations!E61))</f>
        <v/>
      </c>
      <c r="C5" s="356" t="str">
        <f>IF(AsLeft="","",FIXED(AsLeft,Calculations!E61))</f>
        <v/>
      </c>
      <c r="D5" s="356" t="str">
        <f>IF(ISBLANK(Tolerance),"",Tolerance)</f>
        <v/>
      </c>
      <c r="E5" s="356" t="str">
        <f>Unc</f>
        <v/>
      </c>
    </row>
    <row r="6" spans="1:6" s="351" customFormat="1" ht="12" customHeight="1">
      <c r="A6" s="362"/>
      <c r="B6" s="362"/>
      <c r="C6" s="362"/>
      <c r="D6" s="362"/>
      <c r="E6" s="362"/>
    </row>
    <row r="7" spans="1:6" ht="24" customHeight="1" thickBot="1">
      <c r="A7" s="352" t="str">
        <f>IF(NomValUnit="Nominal Volume (L)","Table 1 - LPG Prover Corrections @ "&amp;RefT&amp;" ºC","Table 1 - LPG Prover Corrections @ "&amp;RefT&amp;" ºF")</f>
        <v>Table 1 - LPG Prover Corrections @  ºF</v>
      </c>
      <c r="B7" s="361"/>
      <c r="C7" s="361"/>
      <c r="D7" s="361"/>
      <c r="E7" s="361"/>
    </row>
    <row r="8" spans="1:6" ht="30" customHeight="1">
      <c r="A8" s="359" t="str">
        <f>'Pressure Corrections'!A20</f>
        <v>psig</v>
      </c>
      <c r="B8" s="360" t="str">
        <f>'Pressure Corrections'!B20</f>
        <v>Prover Scale Reading 
(gal)</v>
      </c>
      <c r="C8" s="360" t="str">
        <f>'Pressure Corrections'!C20</f>
        <v>Pressure Correction (Pcorr) (in³)¹</v>
      </c>
      <c r="D8" s="360" t="str">
        <f>'Pressure Corrections'!D20</f>
        <v>Prover Error 
(gal)</v>
      </c>
      <c r="E8" s="360" t="str">
        <f>'Pressure Corrections'!E20</f>
        <v>Prover Volume 
(gal)</v>
      </c>
    </row>
    <row r="9" spans="1:6" ht="14.1" customHeight="1">
      <c r="A9" s="364" t="str">
        <f>IF(ISBLANK(Nom_Val),"",'Pressure Corrections'!A21)</f>
        <v/>
      </c>
      <c r="B9" s="363" t="str">
        <f>IF(ISBLANK(Nom_Val),"",FIXED('Pressure Corrections'!B21,Calculations!$E$61))</f>
        <v/>
      </c>
      <c r="C9" s="363" t="str">
        <f>IF(Nom_Val="","",FIXED('Pressure Corrections'!C21,Calculations!$E$61))</f>
        <v/>
      </c>
      <c r="D9" s="363" t="str">
        <f>IF(Nom_Val="","",FIXED('Pressure Corrections'!D21,Calculations!$E$61))</f>
        <v/>
      </c>
      <c r="E9" s="363" t="str">
        <f>IF(Nom_Val="","",FIXED('Pressure Corrections'!E21,Calculations!$E$61))</f>
        <v/>
      </c>
    </row>
    <row r="10" spans="1:6" ht="14.1" customHeight="1">
      <c r="A10" s="364" t="str">
        <f>IF(ISBLANK(Nom_Val),"",'Pressure Corrections'!A22)</f>
        <v/>
      </c>
      <c r="B10" s="363" t="str">
        <f>IF(ISBLANK(Nom_Val),"",FIXED('Pressure Corrections'!B22,Calculations!$E$61))</f>
        <v/>
      </c>
      <c r="C10" s="363" t="str">
        <f>IF(Nom_Val="","",FIXED('Pressure Corrections'!C22,Calculations!$E$61))</f>
        <v/>
      </c>
      <c r="D10" s="363" t="str">
        <f>IF(Nom_Val="","",FIXED('Pressure Corrections'!D22,Calculations!$E$61))</f>
        <v/>
      </c>
      <c r="E10" s="363" t="str">
        <f>IF(Nom_Val="","",FIXED('Pressure Corrections'!E22,Calculations!$E$61))</f>
        <v/>
      </c>
    </row>
    <row r="11" spans="1:6" ht="14.1" customHeight="1">
      <c r="A11" s="364" t="str">
        <f>IF(ISBLANK(Nom_Val),"",'Pressure Corrections'!A23)</f>
        <v/>
      </c>
      <c r="B11" s="363" t="str">
        <f>IF(ISBLANK(Nom_Val),"",FIXED('Pressure Corrections'!B23,Calculations!$E$61))</f>
        <v/>
      </c>
      <c r="C11" s="363" t="str">
        <f>IF(Nom_Val="","",FIXED('Pressure Corrections'!C23,Calculations!$E$61))</f>
        <v/>
      </c>
      <c r="D11" s="363" t="str">
        <f>IF(Nom_Val="","",FIXED('Pressure Corrections'!D23,Calculations!$E$61))</f>
        <v/>
      </c>
      <c r="E11" s="363" t="str">
        <f>IF(Nom_Val="","",FIXED('Pressure Corrections'!E23,Calculations!$E$61))</f>
        <v/>
      </c>
    </row>
    <row r="12" spans="1:6" ht="14.1" customHeight="1">
      <c r="A12" s="364" t="str">
        <f>IF(ISBLANK(Nom_Val),"",'Pressure Corrections'!A24)</f>
        <v/>
      </c>
      <c r="B12" s="363" t="str">
        <f>IF(ISBLANK(Nom_Val),"",FIXED('Pressure Corrections'!B24,Calculations!$E$61))</f>
        <v/>
      </c>
      <c r="C12" s="363" t="str">
        <f>IF(Nom_Val="","",FIXED('Pressure Corrections'!C24,Calculations!$E$61))</f>
        <v/>
      </c>
      <c r="D12" s="363" t="str">
        <f>IF(Nom_Val="","",FIXED('Pressure Corrections'!D24,Calculations!$E$61))</f>
        <v/>
      </c>
      <c r="E12" s="363" t="str">
        <f>IF(Nom_Val="","",FIXED('Pressure Corrections'!E24,Calculations!$E$61))</f>
        <v/>
      </c>
    </row>
    <row r="13" spans="1:6" ht="14.1" customHeight="1">
      <c r="A13" s="364" t="str">
        <f>IF(ISBLANK(Nom_Val),"",'Pressure Corrections'!A25)</f>
        <v/>
      </c>
      <c r="B13" s="363" t="str">
        <f>IF(ISBLANK(Nom_Val),"",FIXED('Pressure Corrections'!B25,Calculations!$E$61))</f>
        <v/>
      </c>
      <c r="C13" s="363" t="str">
        <f>IF(Nom_Val="","",FIXED('Pressure Corrections'!C25,Calculations!$E$61))</f>
        <v/>
      </c>
      <c r="D13" s="363" t="str">
        <f>IF(Nom_Val="","",FIXED('Pressure Corrections'!D25,Calculations!$E$61))</f>
        <v/>
      </c>
      <c r="E13" s="363" t="str">
        <f>IF(Nom_Val="","",FIXED('Pressure Corrections'!E25,Calculations!$E$61))</f>
        <v/>
      </c>
    </row>
    <row r="14" spans="1:6" ht="14.1" customHeight="1">
      <c r="A14" s="364" t="str">
        <f>IF(ISBLANK(Nom_Val),"",'Pressure Corrections'!A26)</f>
        <v/>
      </c>
      <c r="B14" s="363" t="str">
        <f>IF(ISBLANK(Nom_Val),"",FIXED('Pressure Corrections'!B26,Calculations!$E$61))</f>
        <v/>
      </c>
      <c r="C14" s="363" t="str">
        <f>IF(Nom_Val="","",FIXED('Pressure Corrections'!C26,Calculations!$E$61))</f>
        <v/>
      </c>
      <c r="D14" s="363" t="str">
        <f>IF(Nom_Val="","",FIXED('Pressure Corrections'!D26,Calculations!$E$61))</f>
        <v/>
      </c>
      <c r="E14" s="363" t="str">
        <f>IF(Nom_Val="","",FIXED('Pressure Corrections'!E26,Calculations!$E$61))</f>
        <v/>
      </c>
    </row>
    <row r="15" spans="1:6" ht="14.1" customHeight="1">
      <c r="A15" s="364" t="str">
        <f>IF(ISBLANK(Nom_Val),"",'Pressure Corrections'!A27)</f>
        <v/>
      </c>
      <c r="B15" s="363" t="str">
        <f>IF(ISBLANK(Nom_Val),"",FIXED('Pressure Corrections'!B27,Calculations!$E$61))</f>
        <v/>
      </c>
      <c r="C15" s="363" t="str">
        <f>IF(Nom_Val="","",FIXED('Pressure Corrections'!C27,Calculations!$E$61))</f>
        <v/>
      </c>
      <c r="D15" s="363" t="str">
        <f>IF(Nom_Val="","",FIXED('Pressure Corrections'!D27,Calculations!$E$61))</f>
        <v/>
      </c>
      <c r="E15" s="363" t="str">
        <f>IF(Nom_Val="","",FIXED('Pressure Corrections'!E27,Calculations!$E$61))</f>
        <v/>
      </c>
    </row>
    <row r="16" spans="1:6" ht="14.1" customHeight="1">
      <c r="A16" s="364" t="str">
        <f>IF(ISBLANK(Nom_Val),"",'Pressure Corrections'!A28)</f>
        <v/>
      </c>
      <c r="B16" s="363" t="str">
        <f>IF(ISBLANK(Nom_Val),"",FIXED('Pressure Corrections'!B28,Calculations!$E$61))</f>
        <v/>
      </c>
      <c r="C16" s="363" t="str">
        <f>IF(Nom_Val="","",FIXED('Pressure Corrections'!C28,Calculations!$E$61))</f>
        <v/>
      </c>
      <c r="D16" s="363" t="str">
        <f>IF(Nom_Val="","",FIXED('Pressure Corrections'!D28,Calculations!$E$61))</f>
        <v/>
      </c>
      <c r="E16" s="363" t="str">
        <f>IF(Nom_Val="","",FIXED('Pressure Corrections'!E28,Calculations!$E$61))</f>
        <v/>
      </c>
    </row>
    <row r="17" spans="1:5" ht="14.1" customHeight="1">
      <c r="A17" s="364" t="str">
        <f>IF(ISBLANK(Nom_Val),"",'Pressure Corrections'!A29)</f>
        <v/>
      </c>
      <c r="B17" s="363" t="str">
        <f>IF(ISBLANK(Nom_Val),"",FIXED('Pressure Corrections'!B29,Calculations!$E$61))</f>
        <v/>
      </c>
      <c r="C17" s="363" t="str">
        <f>IF(Nom_Val="","",FIXED('Pressure Corrections'!C29,Calculations!$E$61))</f>
        <v/>
      </c>
      <c r="D17" s="363" t="str">
        <f>IF(Nom_Val="","",FIXED('Pressure Corrections'!D29,Calculations!$E$61))</f>
        <v/>
      </c>
      <c r="E17" s="363" t="str">
        <f>IF(Nom_Val="","",FIXED('Pressure Corrections'!E29,Calculations!$E$61))</f>
        <v/>
      </c>
    </row>
    <row r="18" spans="1:5" ht="14.1" customHeight="1">
      <c r="A18" s="364" t="str">
        <f>IF(ISBLANK(Nom_Val),"",'Pressure Corrections'!A30)</f>
        <v/>
      </c>
      <c r="B18" s="363" t="str">
        <f>IF(ISBLANK(Nom_Val),"",FIXED('Pressure Corrections'!B30,Calculations!$E$61))</f>
        <v/>
      </c>
      <c r="C18" s="363" t="str">
        <f>IF(Nom_Val="","",FIXED('Pressure Corrections'!C30,Calculations!$E$61))</f>
        <v/>
      </c>
      <c r="D18" s="363" t="str">
        <f>IF(Nom_Val="","",FIXED('Pressure Corrections'!D30,Calculations!$E$61))</f>
        <v/>
      </c>
      <c r="E18" s="363" t="str">
        <f>IF(Nom_Val="","",FIXED('Pressure Corrections'!E30,Calculations!$E$61))</f>
        <v/>
      </c>
    </row>
    <row r="19" spans="1:5" ht="14.1" customHeight="1">
      <c r="A19" s="364" t="str">
        <f>IF(ISBLANK(Nom_Val),"",'Pressure Corrections'!A31)</f>
        <v/>
      </c>
      <c r="B19" s="363" t="str">
        <f>IF(ISBLANK(Nom_Val),"",FIXED('Pressure Corrections'!B31,Calculations!$E$61))</f>
        <v/>
      </c>
      <c r="C19" s="363" t="str">
        <f>IF(Nom_Val="","",FIXED('Pressure Corrections'!C31,Calculations!$E$61))</f>
        <v/>
      </c>
      <c r="D19" s="363" t="str">
        <f>IF(Nom_Val="","",FIXED('Pressure Corrections'!D31,Calculations!$E$61))</f>
        <v/>
      </c>
      <c r="E19" s="363" t="str">
        <f>IF(Nom_Val="","",FIXED('Pressure Corrections'!E31,Calculations!$E$61))</f>
        <v/>
      </c>
    </row>
    <row r="20" spans="1:5" ht="14.1" customHeight="1">
      <c r="A20" s="364" t="str">
        <f>IF(ISBLANK(Nom_Val),"",'Pressure Corrections'!A32)</f>
        <v/>
      </c>
      <c r="B20" s="363" t="str">
        <f>IF(ISBLANK(Nom_Val),"",FIXED('Pressure Corrections'!B32,Calculations!$E$61))</f>
        <v/>
      </c>
      <c r="C20" s="363" t="str">
        <f>IF(Nom_Val="","",FIXED('Pressure Corrections'!C32,Calculations!$E$61))</f>
        <v/>
      </c>
      <c r="D20" s="363" t="str">
        <f>IF(Nom_Val="","",FIXED('Pressure Corrections'!D32,Calculations!$E$61))</f>
        <v/>
      </c>
      <c r="E20" s="363" t="str">
        <f>IF(Nom_Val="","",FIXED('Pressure Corrections'!E32,Calculations!$E$61))</f>
        <v/>
      </c>
    </row>
    <row r="21" spans="1:5" ht="14.1" customHeight="1">
      <c r="A21" s="364" t="str">
        <f>IF(ISBLANK(Nom_Val),"",'Pressure Corrections'!A33)</f>
        <v/>
      </c>
      <c r="B21" s="363" t="str">
        <f>IF(ISBLANK(Nom_Val),"",FIXED('Pressure Corrections'!B33,Calculations!$E$61))</f>
        <v/>
      </c>
      <c r="C21" s="363" t="str">
        <f>IF(Nom_Val="","",FIXED('Pressure Corrections'!C33,Calculations!$E$61))</f>
        <v/>
      </c>
      <c r="D21" s="363" t="str">
        <f>IF(Nom_Val="","",FIXED('Pressure Corrections'!D33,Calculations!$E$61))</f>
        <v/>
      </c>
      <c r="E21" s="363" t="str">
        <f>IF(Nom_Val="","",FIXED('Pressure Corrections'!E33,Calculations!$E$61))</f>
        <v/>
      </c>
    </row>
    <row r="22" spans="1:5" ht="14.1" customHeight="1">
      <c r="A22" s="364" t="str">
        <f>IF(ISBLANK(Nom_Val),"",'Pressure Corrections'!A34)</f>
        <v/>
      </c>
      <c r="B22" s="363" t="str">
        <f>IF(ISBLANK(Nom_Val),"",FIXED('Pressure Corrections'!B34,Calculations!$E$61))</f>
        <v/>
      </c>
      <c r="C22" s="363" t="str">
        <f>IF(Nom_Val="","",FIXED('Pressure Corrections'!C34,Calculations!$E$61))</f>
        <v/>
      </c>
      <c r="D22" s="363" t="str">
        <f>IF(Nom_Val="","",FIXED('Pressure Corrections'!D34,Calculations!$E$61))</f>
        <v/>
      </c>
      <c r="E22" s="363" t="str">
        <f>IF(Nom_Val="","",FIXED('Pressure Corrections'!E34,Calculations!$E$61))</f>
        <v/>
      </c>
    </row>
    <row r="23" spans="1:5" ht="14.1" customHeight="1">
      <c r="A23" s="364" t="str">
        <f>IF(ISBLANK(Nom_Val),"",'Pressure Corrections'!A35)</f>
        <v/>
      </c>
      <c r="B23" s="363" t="str">
        <f>IF(ISBLANK(Nom_Val),"",FIXED('Pressure Corrections'!B35,Calculations!$E$61))</f>
        <v/>
      </c>
      <c r="C23" s="363" t="str">
        <f>IF(Nom_Val="","",FIXED('Pressure Corrections'!C35,Calculations!$E$61))</f>
        <v/>
      </c>
      <c r="D23" s="363" t="str">
        <f>IF(Nom_Val="","",FIXED('Pressure Corrections'!D35,Calculations!$E$61))</f>
        <v/>
      </c>
      <c r="E23" s="363" t="str">
        <f>IF(Nom_Val="","",FIXED('Pressure Corrections'!E35,Calculations!$E$61))</f>
        <v/>
      </c>
    </row>
    <row r="24" spans="1:5" ht="14.1" customHeight="1">
      <c r="A24" s="364" t="str">
        <f>IF(ISBLANK(Nom_Val),"",'Pressure Corrections'!A36)</f>
        <v/>
      </c>
      <c r="B24" s="363" t="str">
        <f>IF(ISBLANK(Nom_Val),"",FIXED('Pressure Corrections'!B36,Calculations!$E$61))</f>
        <v/>
      </c>
      <c r="C24" s="363" t="str">
        <f>IF(Nom_Val="","",FIXED('Pressure Corrections'!C36,Calculations!$E$61))</f>
        <v/>
      </c>
      <c r="D24" s="363" t="str">
        <f>IF(Nom_Val="","",FIXED('Pressure Corrections'!D36,Calculations!$E$61))</f>
        <v/>
      </c>
      <c r="E24" s="363" t="str">
        <f>IF(Nom_Val="","",FIXED('Pressure Corrections'!E36,Calculations!$E$61))</f>
        <v/>
      </c>
    </row>
    <row r="25" spans="1:5" ht="14.1" customHeight="1">
      <c r="A25" s="364" t="str">
        <f>IF(ISBLANK(Nom_Val),"",'Pressure Corrections'!A37)</f>
        <v/>
      </c>
      <c r="B25" s="363" t="str">
        <f>IF(ISBLANK(Nom_Val),"",FIXED('Pressure Corrections'!B37,Calculations!$E$61))</f>
        <v/>
      </c>
      <c r="C25" s="363" t="str">
        <f>IF(Nom_Val="","",FIXED('Pressure Corrections'!C37,Calculations!$E$61))</f>
        <v/>
      </c>
      <c r="D25" s="363" t="str">
        <f>IF(Nom_Val="","",FIXED('Pressure Corrections'!D37,Calculations!$E$61))</f>
        <v/>
      </c>
      <c r="E25" s="363" t="str">
        <f>IF(Nom_Val="","",FIXED('Pressure Corrections'!E37,Calculations!$E$61))</f>
        <v/>
      </c>
    </row>
    <row r="26" spans="1:5" ht="14.1" customHeight="1">
      <c r="A26" s="364" t="str">
        <f>IF(ISBLANK(Nom_Val),"",'Pressure Corrections'!A38)</f>
        <v/>
      </c>
      <c r="B26" s="363" t="str">
        <f>IF(ISBLANK(Nom_Val),"",FIXED('Pressure Corrections'!B38,Calculations!$E$61))</f>
        <v/>
      </c>
      <c r="C26" s="363" t="str">
        <f>IF(Nom_Val="","",FIXED('Pressure Corrections'!C38,Calculations!$E$61))</f>
        <v/>
      </c>
      <c r="D26" s="363" t="str">
        <f>IF(Nom_Val="","",FIXED('Pressure Corrections'!D38,Calculations!$E$61))</f>
        <v/>
      </c>
      <c r="E26" s="363" t="str">
        <f>IF(Nom_Val="","",FIXED('Pressure Corrections'!E38,Calculations!$E$61))</f>
        <v/>
      </c>
    </row>
    <row r="27" spans="1:5" ht="14.1" customHeight="1">
      <c r="A27" s="364" t="str">
        <f>IF(ISBLANK(Nom_Val),"",'Pressure Corrections'!A39)</f>
        <v/>
      </c>
      <c r="B27" s="363" t="str">
        <f>IF(ISBLANK(Nom_Val),"",FIXED('Pressure Corrections'!B39,Calculations!$E$61))</f>
        <v/>
      </c>
      <c r="C27" s="363" t="str">
        <f>IF(Nom_Val="","",FIXED('Pressure Corrections'!C39,Calculations!$E$61))</f>
        <v/>
      </c>
      <c r="D27" s="363" t="str">
        <f>IF(Nom_Val="","",FIXED('Pressure Corrections'!D39,Calculations!$E$61))</f>
        <v/>
      </c>
      <c r="E27" s="363" t="str">
        <f>IF(Nom_Val="","",FIXED('Pressure Corrections'!E39,Calculations!$E$61))</f>
        <v/>
      </c>
    </row>
    <row r="28" spans="1:5" ht="14.1" customHeight="1">
      <c r="A28" s="364" t="str">
        <f>IF(ISBLANK(Nom_Val),"",'Pressure Corrections'!A40)</f>
        <v/>
      </c>
      <c r="B28" s="363" t="str">
        <f>IF(ISBLANK(Nom_Val),"",FIXED('Pressure Corrections'!B40,Calculations!$E$61))</f>
        <v/>
      </c>
      <c r="C28" s="363" t="str">
        <f>IF(Nom_Val="","",FIXED('Pressure Corrections'!C40,Calculations!$E$61))</f>
        <v/>
      </c>
      <c r="D28" s="363" t="str">
        <f>IF(Nom_Val="","",FIXED('Pressure Corrections'!D40,Calculations!$E$61))</f>
        <v/>
      </c>
      <c r="E28" s="363" t="str">
        <f>IF(Nom_Val="","",FIXED('Pressure Corrections'!E40,Calculations!$E$61))</f>
        <v/>
      </c>
    </row>
    <row r="29" spans="1:5" ht="14.1" customHeight="1">
      <c r="A29" s="364" t="str">
        <f>IF(ISBLANK(Nom_Val),"",'Pressure Corrections'!A41)</f>
        <v/>
      </c>
      <c r="B29" s="363" t="str">
        <f>IF(ISBLANK(Nom_Val),"",FIXED('Pressure Corrections'!B41,Calculations!$E$61))</f>
        <v/>
      </c>
      <c r="C29" s="363" t="str">
        <f>IF(Nom_Val="","",FIXED('Pressure Corrections'!C41,Calculations!$E$61))</f>
        <v/>
      </c>
      <c r="D29" s="363" t="str">
        <f>IF(Nom_Val="","",FIXED('Pressure Corrections'!D41,Calculations!$E$61))</f>
        <v/>
      </c>
      <c r="E29" s="363" t="str">
        <f>IF(Nom_Val="","",FIXED('Pressure Corrections'!E41,Calculations!$E$61))</f>
        <v/>
      </c>
    </row>
    <row r="30" spans="1:5" ht="14.1" customHeight="1">
      <c r="B30" s="357"/>
      <c r="C30" s="357"/>
      <c r="D30" s="357"/>
      <c r="E30" s="358"/>
    </row>
    <row r="31" spans="1:5" ht="14.1" customHeight="1">
      <c r="A31" s="75" t="s">
        <v>308</v>
      </c>
      <c r="B31" s="357"/>
      <c r="C31" s="357"/>
      <c r="D31" s="357"/>
      <c r="E31" s="358"/>
    </row>
    <row r="32" spans="1:5" ht="14.1" customHeight="1">
      <c r="A32" s="75" t="s">
        <v>309</v>
      </c>
      <c r="B32" s="357"/>
      <c r="C32" s="357"/>
      <c r="D32" s="357"/>
      <c r="E32" s="358"/>
    </row>
    <row r="33" spans="1:5" ht="24" customHeight="1" thickBot="1">
      <c r="A33" s="352" t="str">
        <f>"Chart 1 - LPG Pressure Corrections "&amp;IF(Scale.Unit="Scale Graduations (L)","(L) @ "&amp;RefT&amp;" "&amp;'Uncertainty Analysis'!B33,IF(Scale.Unit="Scale Graduations (mL)","(mL) @ "&amp;RefT&amp;" "&amp;'Uncertainty Analysis'!B33,IF(Scale.Unit="Scale Graduations (gal)","(gal) @ "&amp;RefT&amp;" "&amp;'Uncertainty Analysis'!B33,IF(Scale.Unit="Scale Graduations (in³)","(in³) @ "&amp;RefT&amp;" "&amp;'Uncertainty Analysis'!B33))))</f>
        <v>Chart 1 - LPG Pressure Corrections (gal) @  ºF</v>
      </c>
      <c r="B33" s="361"/>
      <c r="C33" s="361"/>
      <c r="D33" s="361"/>
      <c r="E33" s="361"/>
    </row>
    <row r="34" spans="1:5">
      <c r="A34" s="358"/>
      <c r="B34" s="358"/>
      <c r="C34" s="358"/>
      <c r="D34" s="358"/>
      <c r="E34" s="358"/>
    </row>
    <row r="35" spans="1:5">
      <c r="A35" s="358"/>
      <c r="B35" s="358"/>
      <c r="C35" s="358"/>
      <c r="D35" s="358"/>
      <c r="E35" s="358"/>
    </row>
    <row r="36" spans="1:5">
      <c r="A36" s="358"/>
      <c r="B36" s="358"/>
      <c r="C36" s="358"/>
      <c r="D36" s="358"/>
      <c r="E36" s="358"/>
    </row>
    <row r="37" spans="1:5">
      <c r="A37" s="358"/>
      <c r="B37" s="358"/>
      <c r="C37" s="358"/>
      <c r="D37" s="358"/>
      <c r="E37" s="358"/>
    </row>
    <row r="38" spans="1:5">
      <c r="A38" s="358"/>
      <c r="B38" s="358"/>
      <c r="C38" s="358"/>
      <c r="D38" s="358"/>
      <c r="E38" s="358"/>
    </row>
    <row r="39" spans="1:5">
      <c r="A39" s="358"/>
      <c r="B39" s="358"/>
      <c r="C39" s="358"/>
      <c r="D39" s="358"/>
      <c r="E39" s="358"/>
    </row>
    <row r="40" spans="1:5">
      <c r="A40" s="358"/>
      <c r="B40" s="358"/>
      <c r="C40" s="358"/>
      <c r="D40" s="358"/>
      <c r="E40" s="358"/>
    </row>
    <row r="41" spans="1:5">
      <c r="A41" s="358"/>
      <c r="B41" s="358"/>
      <c r="C41" s="358"/>
      <c r="D41" s="358"/>
      <c r="E41" s="358"/>
    </row>
    <row r="42" spans="1:5">
      <c r="A42" s="358"/>
      <c r="B42" s="358"/>
      <c r="C42" s="358"/>
      <c r="D42" s="358"/>
      <c r="E42" s="358"/>
    </row>
    <row r="43" spans="1:5">
      <c r="A43" s="358"/>
      <c r="B43" s="358"/>
      <c r="C43" s="358"/>
      <c r="D43" s="358"/>
      <c r="E43" s="358"/>
    </row>
    <row r="44" spans="1:5">
      <c r="A44" s="358"/>
      <c r="B44" s="358"/>
      <c r="C44" s="358"/>
      <c r="D44" s="358"/>
      <c r="E44" s="358"/>
    </row>
    <row r="45" spans="1:5">
      <c r="A45" s="358"/>
      <c r="B45" s="358"/>
      <c r="C45" s="358"/>
      <c r="D45" s="358"/>
      <c r="E45" s="358"/>
    </row>
    <row r="46" spans="1:5">
      <c r="A46" s="358"/>
      <c r="B46" s="358"/>
      <c r="C46" s="358"/>
      <c r="D46" s="358"/>
      <c r="E46" s="358"/>
    </row>
    <row r="47" spans="1:5">
      <c r="A47" s="358"/>
      <c r="B47" s="358"/>
      <c r="C47" s="358"/>
      <c r="D47" s="358"/>
      <c r="E47" s="358"/>
    </row>
    <row r="48" spans="1:5">
      <c r="A48" s="358"/>
      <c r="B48" s="358"/>
      <c r="C48" s="358"/>
      <c r="D48" s="358"/>
      <c r="E48" s="358"/>
    </row>
    <row r="49" spans="1:5">
      <c r="A49" s="358"/>
      <c r="B49" s="358"/>
      <c r="C49" s="358"/>
      <c r="D49" s="358"/>
      <c r="E49" s="358"/>
    </row>
    <row r="50" spans="1:5">
      <c r="A50" s="358"/>
      <c r="B50" s="358"/>
      <c r="C50" s="358"/>
      <c r="D50" s="358"/>
      <c r="E50" s="358"/>
    </row>
    <row r="51" spans="1:5"/>
    <row r="52" spans="1:5"/>
    <row r="53" spans="1:5"/>
    <row r="54" spans="1:5"/>
    <row r="55" spans="1:5"/>
    <row r="56" spans="1:5"/>
    <row r="57" spans="1:5" hidden="1"/>
    <row r="58" spans="1:5" hidden="1"/>
    <row r="59" spans="1:5" hidden="1"/>
    <row r="60" spans="1:5" hidden="1"/>
    <row r="61" spans="1:5" hidden="1"/>
    <row r="62" spans="1:5" hidden="1"/>
    <row r="63" spans="1:5" hidden="1"/>
    <row r="64" spans="1:5"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sheetData>
  <sheetProtection password="FFED" sheet="1" objects="1" scenarios="1" selectLockedCells="1" selectUnlockedCells="1"/>
  <mergeCells count="1">
    <mergeCell ref="A1:E1"/>
  </mergeCells>
  <phoneticPr fontId="19" type="noConversion"/>
  <conditionalFormatting sqref="B5:B6">
    <cfRule type="expression" dxfId="50" priority="1" stopIfTrue="1">
      <formula>ABS($B$5-Nom_Val)&gt;ABS($D$5)</formula>
    </cfRule>
  </conditionalFormatting>
  <conditionalFormatting sqref="C5:C6">
    <cfRule type="expression" dxfId="49" priority="2" stopIfTrue="1">
      <formula>ABS($C$5-Nom_Val)&gt;ABS($D$5)</formula>
    </cfRule>
  </conditionalFormatting>
  <printOptions horizontalCentered="1"/>
  <pageMargins left="0.5" right="0.5" top="0.5" bottom="0.75" header="0.5" footer="0.5"/>
  <pageSetup firstPageNumber="4" orientation="landscape" useFirstPageNumber="1" verticalDpi="0" r:id="rId1"/>
  <headerFooter alignWithMargins="0">
    <oddFooter>&amp;L&amp;"Trebuchet MS,Regular"&amp;10WAMRF-014, Rev. 21, 3/26/2010&amp;R&amp;"Trebuchet MS,Regular"&amp;10Page &amp;P of 5</oddFooter>
  </headerFooter>
  <rowBreaks count="1" manualBreakCount="1">
    <brk id="32" max="16383" man="1"/>
  </rowBreaks>
  <drawing r:id="rId2"/>
</worksheet>
</file>

<file path=xl/worksheets/sheet5.xml><?xml version="1.0" encoding="utf-8"?>
<worksheet xmlns="http://schemas.openxmlformats.org/spreadsheetml/2006/main" xmlns:r="http://schemas.openxmlformats.org/officeDocument/2006/relationships">
  <sheetPr enableFormatConditionsCalculation="0">
    <tabColor indexed="58"/>
  </sheetPr>
  <dimension ref="A1:K3"/>
  <sheetViews>
    <sheetView showGridLines="0" zoomScaleNormal="100" workbookViewId="0">
      <selection activeCell="A2" sqref="A2"/>
    </sheetView>
  </sheetViews>
  <sheetFormatPr defaultColWidth="0" defaultRowHeight="14.25" zeroHeight="1"/>
  <cols>
    <col min="1" max="1" width="8.88671875" style="372" customWidth="1"/>
    <col min="2" max="2" width="11.88671875" style="372" customWidth="1"/>
    <col min="3" max="3" width="11.88671875" style="373" customWidth="1"/>
    <col min="4" max="5" width="12.77734375" style="372" customWidth="1"/>
    <col min="6" max="7" width="8.88671875" style="372" customWidth="1"/>
    <col min="8" max="11" width="7.77734375" style="372" customWidth="1"/>
    <col min="12" max="12" width="1.88671875" style="372" customWidth="1"/>
    <col min="13" max="16384" width="0" style="372" hidden="1"/>
  </cols>
  <sheetData>
    <row r="1" spans="1:11" customFormat="1" ht="66">
      <c r="A1" s="449" t="s">
        <v>530</v>
      </c>
      <c r="B1" s="449" t="s">
        <v>319</v>
      </c>
      <c r="C1" s="368" t="s">
        <v>320</v>
      </c>
      <c r="D1" s="368" t="str">
        <f>"Volume (Trial 1) "&amp;IF(AND(RefTempUnit="Designated Reference Temperature For This Calibration (ºC)",NomValUnit="Nominal Volume (L)"),"@ "&amp;RefT&amp;" ºC (L)",IF(AND(RefTempUnit="Designated Reference Temperature For This Calibration (ºF)",NomValUnit="Nominal Volume (L)"),"@ "&amp;RefT&amp;" ºF (L)",IF(AND(RefTempUnit="Designated Reference Temperature For This Calibration (ºC)",NomValUnit="Nominal Volume (gal)"),"@ "&amp;RefT&amp;" ºC (gal)",IF(AND(RefTempUnit="Designated Reference Temperature For This Calibration (ºF)",NomValUnit="Nominal Volume (gal)"),"@ "&amp;RefT&amp;" ºF (gal)"))))</f>
        <v>Volume (Trial 1) @  ºF (gal)</v>
      </c>
      <c r="E1" s="368" t="str">
        <f>"Volume (Trial 2) "&amp;IF(AND(RefTempUnit="Designated Reference Temperature For This Calibration (ºC)",NomValUnit="Nominal Volume (L)"),"@ "&amp;RefT&amp;" ºC (L)",IF(AND(RefTempUnit="Designated Reference Temperature For This Calibration (ºF)",NomValUnit="Nominal Volume (L)"),"@ "&amp;RefT&amp;" ºF (L)",IF(AND(RefTempUnit="Designated Reference Temperature For This Calibration (ºC)",NomValUnit="Nominal Volume (gal)"),"@ "&amp;RefT&amp;" ºC (gal)",IF(AND(RefTempUnit="Designated Reference Temperature For This Calibration (ºF)",NomValUnit="Nominal Volume (gal)"),"@ "&amp;RefT&amp;" ºF (gal)"))))</f>
        <v>Volume (Trial 2) @  ºF (gal)</v>
      </c>
      <c r="F1" s="368" t="s">
        <v>321</v>
      </c>
      <c r="G1" s="368" t="s">
        <v>322</v>
      </c>
      <c r="H1" s="368" t="s">
        <v>323</v>
      </c>
      <c r="I1" s="368" t="s">
        <v>324</v>
      </c>
      <c r="J1" s="368" t="s">
        <v>325</v>
      </c>
      <c r="K1" s="368" t="s">
        <v>326</v>
      </c>
    </row>
    <row r="2" spans="1:11">
      <c r="A2" s="372" t="str">
        <f>IF(ISBLANK('LPG Prover Data Entry'!J20),"",'LPG Prover Data Entry'!J20)</f>
        <v/>
      </c>
      <c r="B2" s="369" t="str">
        <f>IF(ISBLANK(Cal_Date),"",Cal_Date)</f>
        <v/>
      </c>
      <c r="C2" s="370" t="str">
        <f>IF(ISBLANK(RptNo),"",RptNo)</f>
        <v/>
      </c>
      <c r="D2" s="371" t="str">
        <f>Calculations!E29</f>
        <v/>
      </c>
      <c r="E2" s="371" t="str">
        <f>Calculations!E30</f>
        <v/>
      </c>
      <c r="F2" s="371" t="str">
        <f>IF(ISBLANK(Humidity),"",Humidity)</f>
        <v/>
      </c>
      <c r="G2" s="371" t="str">
        <f>IF(ISBLANK(Humidity_F),"",Humidity_F)</f>
        <v/>
      </c>
      <c r="H2" s="371" t="str">
        <f>IF(ISBLANK(AirTemp),"",AirTemp)</f>
        <v/>
      </c>
      <c r="I2" s="371" t="str">
        <f>IF(ISBLANK(AirTemp_F),"",AirTemp_F)</f>
        <v/>
      </c>
      <c r="J2" s="371" t="str">
        <f>IF(ISERROR(t_1+ProverTempCorr),"",t_1+ProverTempCorr)</f>
        <v/>
      </c>
      <c r="K2" s="371" t="str">
        <f>IF(ISERROR(t_2+ProverTempCorr),"",t_2+ProverTempCorr)</f>
        <v/>
      </c>
    </row>
    <row r="3" spans="1:11"/>
  </sheetData>
  <sheetProtection password="FFED" sheet="1" objects="1" scenarios="1"/>
  <phoneticPr fontId="19" type="noConversion"/>
  <pageMargins left="0.75" right="0.75" top="1" bottom="1" header="0.5" footer="0.5"/>
  <pageSetup orientation="landscape" horizontalDpi="1200" verticalDpi="0" r:id="rId1"/>
  <headerFooter alignWithMargins="0">
    <oddHeader>&amp;L&amp;"Trebuchet MS,Regular"Calibration of LPG Provers&amp;R&amp;"Trebuchet MS,Regular"WAMRF-014, Rev. 21, 3/26/2010</oddHeader>
    <oddFooter>&amp;L&amp;"Trebuchet MS,Regular"&amp;F&amp;R&amp;"Trebuchet MS,Regular"&amp;A Worksheet Page &amp;P of &amp;N</oddFooter>
  </headerFooter>
  <legacyDrawing r:id="rId2"/>
</worksheet>
</file>

<file path=xl/worksheets/sheet6.xml><?xml version="1.0" encoding="utf-8"?>
<worksheet xmlns="http://schemas.openxmlformats.org/spreadsheetml/2006/main" xmlns:r="http://schemas.openxmlformats.org/officeDocument/2006/relationships">
  <sheetPr enableFormatConditionsCalculation="0">
    <tabColor indexed="50"/>
  </sheetPr>
  <dimension ref="A1:L117"/>
  <sheetViews>
    <sheetView showGridLines="0" zoomScaleNormal="100" workbookViewId="0">
      <selection activeCell="H1" sqref="H1:J1"/>
    </sheetView>
  </sheetViews>
  <sheetFormatPr defaultColWidth="0" defaultRowHeight="12.75" zeroHeight="1"/>
  <cols>
    <col min="1" max="10" width="8.5546875" style="145" customWidth="1"/>
    <col min="11" max="11" width="2" style="145" customWidth="1"/>
    <col min="12" max="16384" width="0" style="145" hidden="1"/>
  </cols>
  <sheetData>
    <row r="1" spans="1:10" s="144" customFormat="1" ht="21.75" thickBot="1">
      <c r="A1" s="141" t="s">
        <v>94</v>
      </c>
      <c r="B1" s="142"/>
      <c r="C1" s="142"/>
      <c r="D1" s="142"/>
      <c r="E1" s="56"/>
      <c r="F1" s="56"/>
      <c r="G1" s="143" t="s">
        <v>154</v>
      </c>
      <c r="H1" s="517"/>
      <c r="I1" s="517"/>
      <c r="J1" s="517"/>
    </row>
    <row r="2" spans="1:10" ht="12" customHeight="1">
      <c r="D2" s="146"/>
      <c r="E2" s="146"/>
      <c r="F2" s="146"/>
      <c r="G2" s="146"/>
    </row>
    <row r="3" spans="1:10" ht="15.95" customHeight="1" thickBot="1">
      <c r="A3" s="46" t="s">
        <v>0</v>
      </c>
      <c r="B3" s="47"/>
      <c r="C3" s="47"/>
      <c r="D3" s="47"/>
      <c r="E3" s="47"/>
      <c r="F3" s="47"/>
      <c r="G3" s="47"/>
      <c r="H3" s="47"/>
      <c r="I3" s="47"/>
      <c r="J3" s="47"/>
    </row>
    <row r="4" spans="1:10" ht="15.95" customHeight="1">
      <c r="A4" s="504"/>
      <c r="B4" s="505"/>
      <c r="C4" s="505"/>
      <c r="D4" s="505"/>
      <c r="E4" s="505"/>
      <c r="F4" s="506"/>
      <c r="G4" s="520" t="s">
        <v>318</v>
      </c>
      <c r="H4" s="521"/>
      <c r="I4" s="522"/>
      <c r="J4" s="425"/>
    </row>
    <row r="5" spans="1:10" ht="15.95" customHeight="1">
      <c r="A5" s="507"/>
      <c r="B5" s="508"/>
      <c r="C5" s="508"/>
      <c r="D5" s="508"/>
      <c r="E5" s="508"/>
      <c r="F5" s="509"/>
      <c r="G5" s="404" t="s">
        <v>3</v>
      </c>
      <c r="H5" s="498"/>
      <c r="I5" s="499"/>
      <c r="J5" s="500"/>
    </row>
    <row r="6" spans="1:10" ht="15.95" customHeight="1">
      <c r="A6" s="507"/>
      <c r="B6" s="508"/>
      <c r="C6" s="508"/>
      <c r="D6" s="508"/>
      <c r="E6" s="508"/>
      <c r="F6" s="509"/>
      <c r="G6" s="405" t="s">
        <v>1</v>
      </c>
      <c r="H6" s="498"/>
      <c r="I6" s="499"/>
      <c r="J6" s="500"/>
    </row>
    <row r="7" spans="1:10" ht="15.95" customHeight="1">
      <c r="A7" s="507"/>
      <c r="B7" s="508"/>
      <c r="C7" s="508"/>
      <c r="D7" s="508"/>
      <c r="E7" s="508"/>
      <c r="F7" s="509"/>
      <c r="G7" s="406" t="s">
        <v>2</v>
      </c>
      <c r="H7" s="498"/>
      <c r="I7" s="499"/>
      <c r="J7" s="500"/>
    </row>
    <row r="8" spans="1:10" ht="12" customHeight="1">
      <c r="A8" s="147"/>
      <c r="B8" s="147"/>
      <c r="C8" s="147"/>
      <c r="D8" s="147"/>
      <c r="E8" s="147"/>
      <c r="F8" s="147"/>
      <c r="G8" s="147"/>
      <c r="H8" s="147"/>
      <c r="I8" s="147"/>
      <c r="J8" s="147"/>
    </row>
    <row r="9" spans="1:10" ht="15.95" customHeight="1" thickBot="1">
      <c r="A9" s="46" t="s">
        <v>50</v>
      </c>
      <c r="B9" s="47"/>
      <c r="C9" s="47"/>
      <c r="D9" s="47"/>
      <c r="E9" s="47"/>
      <c r="F9" s="47"/>
      <c r="G9" s="47"/>
      <c r="H9" s="47"/>
      <c r="I9" s="47"/>
      <c r="J9" s="47"/>
    </row>
    <row r="10" spans="1:10" ht="16.5" customHeight="1">
      <c r="A10" s="587" t="s">
        <v>8</v>
      </c>
      <c r="B10" s="588"/>
      <c r="C10" s="584" t="s">
        <v>556</v>
      </c>
      <c r="D10" s="585"/>
      <c r="E10" s="585"/>
      <c r="F10" s="586"/>
      <c r="G10" s="520" t="s">
        <v>79</v>
      </c>
      <c r="H10" s="522"/>
      <c r="I10" s="563"/>
      <c r="J10" s="564"/>
    </row>
    <row r="11" spans="1:10" ht="15.75">
      <c r="A11" s="510" t="s">
        <v>4</v>
      </c>
      <c r="B11" s="525"/>
      <c r="C11" s="498"/>
      <c r="D11" s="561"/>
      <c r="E11" s="561"/>
      <c r="F11" s="562"/>
      <c r="G11" s="568" t="s">
        <v>172</v>
      </c>
      <c r="H11" s="565"/>
      <c r="I11" s="569"/>
      <c r="J11" s="426"/>
    </row>
    <row r="12" spans="1:10" ht="15.75">
      <c r="A12" s="510" t="s">
        <v>5</v>
      </c>
      <c r="B12" s="510"/>
      <c r="C12" s="498"/>
      <c r="D12" s="561"/>
      <c r="E12" s="561"/>
      <c r="F12" s="562"/>
      <c r="G12" s="565" t="s">
        <v>49</v>
      </c>
      <c r="H12" s="566"/>
      <c r="I12" s="567"/>
      <c r="J12" s="427"/>
    </row>
    <row r="13" spans="1:10" ht="15.75">
      <c r="A13" s="510" t="s">
        <v>10</v>
      </c>
      <c r="B13" s="510"/>
      <c r="C13" s="498"/>
      <c r="D13" s="499"/>
      <c r="E13" s="499"/>
      <c r="F13" s="562"/>
      <c r="G13" s="512" t="str">
        <f>IF(RefTempUnit="Designated Reference Temperature For This Calibration (ºC)","CCE (β) (/ ºC) =","CCE (β) (/ ºF) =")</f>
        <v>CCE (β) (/ ºF) =</v>
      </c>
      <c r="H13" s="513"/>
      <c r="I13" s="523" t="str">
        <f>IF(ISBLANK(Material),"",IF(RefTempUnit="Designated Reference Temperature For This Calibration (ºC)",VLOOKUP(Material,CCE.Table,2)*1.8,VLOOKUP(Material,CCE.Table,2)))</f>
        <v/>
      </c>
      <c r="J13" s="524"/>
    </row>
    <row r="14" spans="1:10" ht="15">
      <c r="A14" s="510" t="s">
        <v>52</v>
      </c>
      <c r="B14" s="510"/>
      <c r="C14" s="511"/>
      <c r="D14" s="511"/>
      <c r="E14" s="511"/>
      <c r="F14" s="511"/>
      <c r="G14" s="511"/>
      <c r="H14" s="511"/>
      <c r="I14" s="511"/>
      <c r="J14" s="511"/>
    </row>
    <row r="15" spans="1:10" ht="15.75" customHeight="1">
      <c r="A15" s="568" t="s">
        <v>262</v>
      </c>
      <c r="B15" s="565"/>
      <c r="C15" s="565"/>
      <c r="D15" s="565"/>
      <c r="E15" s="565"/>
      <c r="F15" s="565"/>
      <c r="G15" s="565"/>
      <c r="H15" s="565"/>
      <c r="I15" s="569"/>
      <c r="J15" s="427"/>
    </row>
    <row r="16" spans="1:10" ht="15.75" customHeight="1">
      <c r="A16" s="501" t="s">
        <v>317</v>
      </c>
      <c r="B16" s="502"/>
      <c r="C16" s="502"/>
      <c r="D16" s="502"/>
      <c r="E16" s="502"/>
      <c r="F16" s="502"/>
      <c r="G16" s="502"/>
      <c r="H16" s="502"/>
      <c r="I16" s="503"/>
      <c r="J16" s="427"/>
    </row>
    <row r="17" spans="1:11" ht="16.5" customHeight="1">
      <c r="A17" s="501" t="str">
        <f>IF(NomValUnit="Nominal Volume (gal)","Process Standard Deviation of the Trials from Control Chart (gal)","Process Standard Deviation of the Trials from Control Chart (L)")</f>
        <v>Process Standard Deviation of the Trials from Control Chart (gal)</v>
      </c>
      <c r="B17" s="502"/>
      <c r="C17" s="502"/>
      <c r="D17" s="502"/>
      <c r="E17" s="502"/>
      <c r="F17" s="502"/>
      <c r="G17" s="502"/>
      <c r="H17" s="503"/>
      <c r="I17" s="498"/>
      <c r="J17" s="500"/>
    </row>
    <row r="18" spans="1:11" ht="15">
      <c r="A18" s="514" t="str">
        <f>IF(NomValUnit="Nominal Volume (gal)","Accredited (e.g. NVLAP, A2LA, etc.) Best Uncertainty for this Calibration (gal)","Accredited (e.g. NVLAP, A2LA, etc.) Best Uncertainty for this Calibration (L)")</f>
        <v>Accredited (e.g. NVLAP, A2LA, etc.) Best Uncertainty for this Calibration (gal)</v>
      </c>
      <c r="B18" s="515"/>
      <c r="C18" s="515"/>
      <c r="D18" s="515"/>
      <c r="E18" s="515"/>
      <c r="F18" s="515"/>
      <c r="G18" s="515"/>
      <c r="H18" s="516"/>
      <c r="I18" s="570"/>
      <c r="J18" s="571"/>
    </row>
    <row r="19" spans="1:11" ht="15.75">
      <c r="A19" s="526" t="s">
        <v>53</v>
      </c>
      <c r="B19" s="527"/>
      <c r="C19" s="527"/>
      <c r="D19" s="527"/>
      <c r="E19" s="527"/>
      <c r="F19" s="428"/>
      <c r="G19" s="597" t="s">
        <v>54</v>
      </c>
      <c r="H19" s="598"/>
      <c r="I19" s="598"/>
      <c r="J19" s="429"/>
    </row>
    <row r="20" spans="1:11" ht="15.95" customHeight="1">
      <c r="A20" s="501" t="s">
        <v>159</v>
      </c>
      <c r="B20" s="502"/>
      <c r="C20" s="528"/>
      <c r="D20" s="528"/>
      <c r="E20" s="464" t="s">
        <v>13</v>
      </c>
      <c r="F20" s="531"/>
      <c r="G20" s="532"/>
      <c r="H20" s="533"/>
      <c r="I20" s="465" t="s">
        <v>530</v>
      </c>
      <c r="J20" s="463"/>
    </row>
    <row r="21" spans="1:11"/>
    <row r="22" spans="1:11" s="144" customFormat="1" ht="18.75" thickBot="1">
      <c r="A22" s="442" t="s">
        <v>364</v>
      </c>
      <c r="B22" s="443"/>
      <c r="C22" s="443"/>
      <c r="D22" s="443"/>
      <c r="E22" s="443"/>
      <c r="F22" s="443"/>
      <c r="G22" s="443"/>
      <c r="H22" s="444"/>
      <c r="I22" s="145"/>
      <c r="J22" s="145"/>
      <c r="K22" s="145"/>
    </row>
    <row r="23" spans="1:11" s="144" customFormat="1" ht="30">
      <c r="A23" s="445" t="s">
        <v>365</v>
      </c>
      <c r="B23" s="529" t="s">
        <v>8</v>
      </c>
      <c r="C23" s="530"/>
      <c r="D23" s="529" t="s">
        <v>5</v>
      </c>
      <c r="E23" s="530"/>
      <c r="F23" s="535" t="s">
        <v>366</v>
      </c>
      <c r="G23" s="535"/>
      <c r="H23" s="445" t="s">
        <v>367</v>
      </c>
      <c r="I23" s="445" t="s">
        <v>368</v>
      </c>
      <c r="K23" s="145"/>
    </row>
    <row r="24" spans="1:11" s="144" customFormat="1" ht="15.75">
      <c r="A24" s="446"/>
      <c r="B24" s="518"/>
      <c r="C24" s="518"/>
      <c r="D24" s="519"/>
      <c r="E24" s="519"/>
      <c r="F24" s="519"/>
      <c r="G24" s="519"/>
      <c r="H24" s="469"/>
      <c r="I24" s="470"/>
      <c r="K24" s="145"/>
    </row>
    <row r="25" spans="1:11" s="144" customFormat="1" ht="15.75">
      <c r="A25" s="446"/>
      <c r="B25" s="518"/>
      <c r="C25" s="518"/>
      <c r="D25" s="519"/>
      <c r="E25" s="519"/>
      <c r="F25" s="519"/>
      <c r="G25" s="519"/>
      <c r="H25" s="469"/>
      <c r="I25" s="470"/>
      <c r="K25" s="145"/>
    </row>
    <row r="26" spans="1:11" s="144" customFormat="1" ht="15.75">
      <c r="A26" s="446"/>
      <c r="B26" s="518"/>
      <c r="C26" s="518"/>
      <c r="D26" s="519"/>
      <c r="E26" s="519"/>
      <c r="F26" s="519"/>
      <c r="G26" s="519"/>
      <c r="H26" s="469"/>
      <c r="I26" s="470"/>
      <c r="K26" s="145"/>
    </row>
    <row r="27" spans="1:11" s="144" customFormat="1" ht="15.75">
      <c r="A27" s="446"/>
      <c r="B27" s="518"/>
      <c r="C27" s="518"/>
      <c r="D27" s="519"/>
      <c r="E27" s="519"/>
      <c r="F27" s="519"/>
      <c r="G27" s="519"/>
      <c r="H27" s="469"/>
      <c r="I27" s="470"/>
      <c r="K27" s="145"/>
    </row>
    <row r="28" spans="1:11" s="144" customFormat="1" ht="15.75">
      <c r="A28" s="446"/>
      <c r="B28" s="518"/>
      <c r="C28" s="518"/>
      <c r="D28" s="519"/>
      <c r="E28" s="519"/>
      <c r="F28" s="519"/>
      <c r="G28" s="519"/>
      <c r="H28" s="469"/>
      <c r="I28" s="470"/>
      <c r="K28" s="145"/>
    </row>
    <row r="29" spans="1:11" s="144" customFormat="1" ht="15.75">
      <c r="A29" s="446"/>
      <c r="B29" s="518"/>
      <c r="C29" s="518"/>
      <c r="D29" s="519"/>
      <c r="E29" s="519"/>
      <c r="F29" s="519"/>
      <c r="G29" s="519"/>
      <c r="H29" s="469"/>
      <c r="I29" s="470"/>
      <c r="K29" s="145"/>
    </row>
    <row r="30" spans="1:11" s="144" customFormat="1" ht="15.75">
      <c r="A30" s="446"/>
      <c r="B30" s="518"/>
      <c r="C30" s="518"/>
      <c r="D30" s="519"/>
      <c r="E30" s="519"/>
      <c r="F30" s="519"/>
      <c r="G30" s="519"/>
      <c r="H30" s="469"/>
      <c r="I30" s="470"/>
      <c r="K30" s="145"/>
    </row>
    <row r="31" spans="1:11" s="144" customFormat="1" ht="15.75">
      <c r="A31" s="446"/>
      <c r="B31" s="518"/>
      <c r="C31" s="518"/>
      <c r="D31" s="519"/>
      <c r="E31" s="519"/>
      <c r="F31" s="519"/>
      <c r="G31" s="519"/>
      <c r="H31" s="469"/>
      <c r="I31" s="470"/>
      <c r="K31" s="145"/>
    </row>
    <row r="32" spans="1:11"/>
    <row r="33" spans="1:10" ht="15.95" customHeight="1" thickBot="1">
      <c r="A33" s="46" t="s">
        <v>51</v>
      </c>
      <c r="B33" s="47"/>
      <c r="C33" s="47"/>
      <c r="D33" s="47"/>
      <c r="E33" s="47"/>
      <c r="F33" s="47"/>
      <c r="G33" s="47"/>
      <c r="H33" s="47"/>
      <c r="I33" s="47"/>
      <c r="J33" s="47"/>
    </row>
    <row r="34" spans="1:10" s="148" customFormat="1" ht="47.1" customHeight="1">
      <c r="A34" s="407" t="s">
        <v>7</v>
      </c>
      <c r="B34" s="589" t="s">
        <v>8</v>
      </c>
      <c r="C34" s="590"/>
      <c r="D34" s="408" t="s">
        <v>26</v>
      </c>
      <c r="E34" s="407" t="str">
        <f>IF(NomValUnit="Nominal Volume (L)","Volume (Vs @ trefs) 
(L)","Volume (Vs @ trefs) 
(gal)")</f>
        <v>Volume (Vs @ trefs) 
(gal)</v>
      </c>
      <c r="F34" s="407" t="str">
        <f>IF(RefTempUnit="Designated Reference Temperature For This Calibration (ºC)","Std. Ref. Temp. (trefS ºC)","Std. Ref. Temp. (trefS ºF)")</f>
        <v>Std. Ref. Temp. (trefS ºF)</v>
      </c>
      <c r="G34" s="409" t="str">
        <f>IF(NomValUnit="Nominal Volume (L)","Scale
Graduations
(L)","Scale
Graduations 
(gal)")</f>
        <v>Scale
Graduations 
(gal)</v>
      </c>
      <c r="H34" s="410" t="str">
        <f>IF(RefTempUnit="Designated Reference Temperature For This Calibration (ºC)","CCE (α)
(/ ºC)","CCE (α)
(/ ºF)")</f>
        <v>CCE (α)
(/ ºF)</v>
      </c>
      <c r="I34" s="407" t="str">
        <f>IF(NomValUnit="Nominal Volume (L)","Unc
(L)","Unc
(gal)")</f>
        <v>Unc
(gal)</v>
      </c>
      <c r="J34" s="408" t="s">
        <v>6</v>
      </c>
    </row>
    <row r="35" spans="1:10" s="148" customFormat="1" ht="14.25">
      <c r="A35" s="430"/>
      <c r="B35" s="591"/>
      <c r="C35" s="592"/>
      <c r="D35" s="447"/>
      <c r="E35" s="471">
        <v>0</v>
      </c>
      <c r="F35" s="471">
        <v>0</v>
      </c>
      <c r="G35" s="471">
        <v>0</v>
      </c>
      <c r="H35" s="471">
        <v>0</v>
      </c>
      <c r="I35" s="471">
        <v>0</v>
      </c>
      <c r="J35" s="472">
        <v>1</v>
      </c>
    </row>
    <row r="36" spans="1:10" s="148" customFormat="1" ht="14.25">
      <c r="A36" s="430"/>
      <c r="B36" s="595"/>
      <c r="C36" s="596"/>
      <c r="D36" s="448"/>
      <c r="E36" s="471">
        <v>0</v>
      </c>
      <c r="F36" s="471">
        <v>0</v>
      </c>
      <c r="G36" s="471">
        <v>0</v>
      </c>
      <c r="H36" s="471">
        <v>0</v>
      </c>
      <c r="I36" s="471">
        <v>0</v>
      </c>
      <c r="J36" s="472">
        <v>1</v>
      </c>
    </row>
    <row r="37" spans="1:10" ht="15.95" customHeight="1">
      <c r="A37" s="430"/>
      <c r="B37" s="595"/>
      <c r="C37" s="596"/>
      <c r="D37" s="448"/>
      <c r="E37" s="471">
        <v>0</v>
      </c>
      <c r="F37" s="471">
        <v>0</v>
      </c>
      <c r="G37" s="471">
        <v>0</v>
      </c>
      <c r="H37" s="471">
        <v>0</v>
      </c>
      <c r="I37" s="471">
        <v>0</v>
      </c>
      <c r="J37" s="472">
        <v>1</v>
      </c>
    </row>
    <row r="38" spans="1:10" ht="15.95" customHeight="1">
      <c r="A38" s="430"/>
      <c r="B38" s="595"/>
      <c r="C38" s="596"/>
      <c r="D38" s="448"/>
      <c r="E38" s="471">
        <v>0</v>
      </c>
      <c r="F38" s="471">
        <v>0</v>
      </c>
      <c r="G38" s="471">
        <v>0</v>
      </c>
      <c r="H38" s="471">
        <v>0</v>
      </c>
      <c r="I38" s="471">
        <v>0</v>
      </c>
      <c r="J38" s="472">
        <v>1</v>
      </c>
    </row>
    <row r="39" spans="1:10" ht="12" customHeight="1">
      <c r="A39" s="84"/>
      <c r="B39" s="84"/>
      <c r="C39" s="84"/>
      <c r="D39" s="84"/>
      <c r="E39" s="84"/>
      <c r="F39" s="84"/>
      <c r="G39" s="84"/>
      <c r="H39" s="84"/>
      <c r="I39" s="84"/>
      <c r="J39" s="84"/>
    </row>
    <row r="40" spans="1:10" s="85" customFormat="1" ht="15.95" customHeight="1" thickBot="1">
      <c r="A40" s="46" t="s">
        <v>55</v>
      </c>
      <c r="B40" s="47"/>
      <c r="C40" s="47"/>
      <c r="D40" s="47"/>
      <c r="E40" s="47"/>
      <c r="F40" s="153"/>
      <c r="G40" s="153"/>
      <c r="H40" s="153"/>
      <c r="I40" s="152"/>
      <c r="J40" s="152"/>
    </row>
    <row r="41" spans="1:10" s="85" customFormat="1" ht="45" customHeight="1">
      <c r="A41" s="600" t="s">
        <v>8</v>
      </c>
      <c r="B41" s="601"/>
      <c r="C41" s="602"/>
      <c r="D41" s="411" t="s">
        <v>7</v>
      </c>
      <c r="E41" s="594" t="s">
        <v>95</v>
      </c>
      <c r="F41" s="594"/>
      <c r="G41" s="594" t="s">
        <v>77</v>
      </c>
      <c r="H41" s="594"/>
      <c r="I41" s="616"/>
      <c r="J41" s="617"/>
    </row>
    <row r="42" spans="1:10" s="85" customFormat="1" ht="15.95" customHeight="1">
      <c r="A42" s="593" t="s">
        <v>146</v>
      </c>
      <c r="B42" s="593"/>
      <c r="C42" s="593"/>
      <c r="D42" s="431"/>
      <c r="E42" s="534"/>
      <c r="F42" s="534"/>
      <c r="G42" s="534"/>
      <c r="H42" s="534"/>
      <c r="I42" s="616"/>
      <c r="J42" s="617"/>
    </row>
    <row r="43" spans="1:10" s="84" customFormat="1" ht="15.95" customHeight="1">
      <c r="A43" s="525" t="s">
        <v>253</v>
      </c>
      <c r="B43" s="525"/>
      <c r="C43" s="525"/>
      <c r="D43" s="431"/>
      <c r="E43" s="534"/>
      <c r="F43" s="534"/>
      <c r="G43" s="534"/>
      <c r="H43" s="534"/>
      <c r="I43" s="616"/>
      <c r="J43" s="617"/>
    </row>
    <row r="44" spans="1:10" s="84" customFormat="1" ht="12" customHeight="1"/>
    <row r="45" spans="1:10" s="85" customFormat="1" ht="15.75" customHeight="1" thickBot="1">
      <c r="A45" s="46" t="s">
        <v>12</v>
      </c>
      <c r="B45" s="47"/>
      <c r="C45" s="47"/>
      <c r="D45" s="47"/>
      <c r="E45" s="47"/>
      <c r="F45" s="47"/>
      <c r="G45" s="47"/>
      <c r="H45" s="438"/>
      <c r="I45" s="438"/>
      <c r="J45" s="438"/>
    </row>
    <row r="46" spans="1:10" ht="15.95" customHeight="1">
      <c r="A46" s="365" t="s">
        <v>315</v>
      </c>
      <c r="B46" s="510" t="s">
        <v>98</v>
      </c>
      <c r="C46" s="525"/>
      <c r="D46" s="432"/>
      <c r="E46" s="510" t="s">
        <v>11</v>
      </c>
      <c r="F46" s="525"/>
      <c r="G46" s="433"/>
      <c r="H46" s="440"/>
      <c r="I46" s="441"/>
      <c r="J46" s="441"/>
    </row>
    <row r="47" spans="1:10" s="84" customFormat="1" ht="12" customHeight="1"/>
    <row r="48" spans="1:10" s="84" customFormat="1" ht="15.95" customHeight="1" thickBot="1">
      <c r="A48" s="46" t="s">
        <v>19</v>
      </c>
      <c r="B48" s="47"/>
      <c r="C48" s="47"/>
      <c r="D48" s="47"/>
      <c r="E48" s="47"/>
      <c r="F48" s="47"/>
      <c r="G48" s="47"/>
      <c r="H48" s="47"/>
      <c r="I48" s="47"/>
      <c r="J48" s="47"/>
    </row>
    <row r="49" spans="1:10" s="84" customFormat="1" ht="15.95" customHeight="1">
      <c r="A49" s="549" t="s">
        <v>16</v>
      </c>
      <c r="B49" s="550"/>
      <c r="C49" s="550"/>
      <c r="D49" s="550"/>
      <c r="E49" s="551"/>
      <c r="F49" s="555" t="s">
        <v>18</v>
      </c>
      <c r="G49" s="550"/>
      <c r="H49" s="550"/>
      <c r="I49" s="550"/>
      <c r="J49" s="556"/>
    </row>
    <row r="50" spans="1:10" s="84" customFormat="1" ht="45">
      <c r="A50" s="412" t="s">
        <v>17</v>
      </c>
      <c r="B50" s="412" t="s">
        <v>96</v>
      </c>
      <c r="C50" s="412" t="str">
        <f>IF(NomValUnit="Nominal Volume (L)","Volume 
(Vs @ tref) 
(L)","Volume 
(Vs @ tref) 
(gal)")</f>
        <v>Volume 
(Vs @ tref) 
(gal)</v>
      </c>
      <c r="D50" s="412" t="s">
        <v>97</v>
      </c>
      <c r="E50" s="413" t="str">
        <f>IF(NomValUnit="Nominal Volume (L)","Delta (Δ)
(mL)","Delta (Δ)
(in³)")</f>
        <v>Delta (Δ)
(in³)</v>
      </c>
      <c r="F50" s="414" t="s">
        <v>17</v>
      </c>
      <c r="G50" s="412" t="s">
        <v>96</v>
      </c>
      <c r="H50" s="412" t="str">
        <f>IF(NomValUnit="Nominal Volume (L)","Volume 
(Vs @ tref) 
(L)","Volume 
(Vs @ tref) 
(gal)")</f>
        <v>Volume 
(Vs @ tref) 
(gal)</v>
      </c>
      <c r="I50" s="412" t="s">
        <v>97</v>
      </c>
      <c r="J50" s="412" t="str">
        <f>IF(NomValUnit="Nominal Volume (L)","Delta (Δ)
(mL)","Delta (Δ)
(in³)")</f>
        <v>Delta (Δ)
(in³)</v>
      </c>
    </row>
    <row r="51" spans="1:10" s="84" customFormat="1" ht="15.75" customHeight="1">
      <c r="A51" s="415">
        <v>1</v>
      </c>
      <c r="B51" s="430"/>
      <c r="C51" s="417" t="str">
        <f t="shared" ref="C51:C65" si="0">IF(B51="","",VLOOKUP(B51,Standards.Table,5,FALSE))</f>
        <v/>
      </c>
      <c r="D51" s="430"/>
      <c r="E51" s="435"/>
      <c r="F51" s="418">
        <v>1</v>
      </c>
      <c r="G51" s="430"/>
      <c r="H51" s="417" t="str">
        <f t="shared" ref="H51:H65" si="1">IF(G51="","",VLOOKUP(G51,Standards.Table,5,FALSE))</f>
        <v/>
      </c>
      <c r="I51" s="430"/>
      <c r="J51" s="430"/>
    </row>
    <row r="52" spans="1:10" s="84" customFormat="1" ht="15.75" customHeight="1">
      <c r="A52" s="416">
        <v>2</v>
      </c>
      <c r="B52" s="430"/>
      <c r="C52" s="417" t="str">
        <f t="shared" si="0"/>
        <v/>
      </c>
      <c r="D52" s="430"/>
      <c r="E52" s="435"/>
      <c r="F52" s="419">
        <v>2</v>
      </c>
      <c r="G52" s="430"/>
      <c r="H52" s="417" t="str">
        <f t="shared" si="1"/>
        <v/>
      </c>
      <c r="I52" s="430"/>
      <c r="J52" s="430"/>
    </row>
    <row r="53" spans="1:10" s="84" customFormat="1" ht="15.75" customHeight="1">
      <c r="A53" s="416">
        <v>3</v>
      </c>
      <c r="B53" s="434"/>
      <c r="C53" s="417" t="str">
        <f t="shared" si="0"/>
        <v/>
      </c>
      <c r="D53" s="434"/>
      <c r="E53" s="436"/>
      <c r="F53" s="419">
        <v>3</v>
      </c>
      <c r="G53" s="434"/>
      <c r="H53" s="417" t="str">
        <f t="shared" si="1"/>
        <v/>
      </c>
      <c r="I53" s="434"/>
      <c r="J53" s="434"/>
    </row>
    <row r="54" spans="1:10" s="84" customFormat="1" ht="15.75" customHeight="1">
      <c r="A54" s="416">
        <v>4</v>
      </c>
      <c r="B54" s="434"/>
      <c r="C54" s="417" t="str">
        <f t="shared" si="0"/>
        <v/>
      </c>
      <c r="D54" s="434"/>
      <c r="E54" s="436"/>
      <c r="F54" s="419">
        <v>4</v>
      </c>
      <c r="G54" s="434"/>
      <c r="H54" s="417" t="str">
        <f t="shared" si="1"/>
        <v/>
      </c>
      <c r="I54" s="434"/>
      <c r="J54" s="434"/>
    </row>
    <row r="55" spans="1:10" s="84" customFormat="1" ht="15.75" customHeight="1">
      <c r="A55" s="416">
        <v>5</v>
      </c>
      <c r="B55" s="434"/>
      <c r="C55" s="417" t="str">
        <f t="shared" si="0"/>
        <v/>
      </c>
      <c r="D55" s="434"/>
      <c r="E55" s="436"/>
      <c r="F55" s="419">
        <v>5</v>
      </c>
      <c r="G55" s="434"/>
      <c r="H55" s="417" t="str">
        <f t="shared" si="1"/>
        <v/>
      </c>
      <c r="I55" s="434"/>
      <c r="J55" s="434"/>
    </row>
    <row r="56" spans="1:10" s="149" customFormat="1" ht="15.75" customHeight="1">
      <c r="A56" s="416">
        <v>6</v>
      </c>
      <c r="B56" s="434"/>
      <c r="C56" s="417" t="str">
        <f t="shared" si="0"/>
        <v/>
      </c>
      <c r="D56" s="434"/>
      <c r="E56" s="436"/>
      <c r="F56" s="419">
        <v>6</v>
      </c>
      <c r="G56" s="434"/>
      <c r="H56" s="417" t="str">
        <f t="shared" si="1"/>
        <v/>
      </c>
      <c r="I56" s="434"/>
      <c r="J56" s="434"/>
    </row>
    <row r="57" spans="1:10" s="149" customFormat="1" ht="15.75" customHeight="1">
      <c r="A57" s="416">
        <v>7</v>
      </c>
      <c r="B57" s="434"/>
      <c r="C57" s="417" t="str">
        <f t="shared" si="0"/>
        <v/>
      </c>
      <c r="D57" s="434"/>
      <c r="E57" s="436"/>
      <c r="F57" s="419">
        <v>7</v>
      </c>
      <c r="G57" s="434"/>
      <c r="H57" s="417" t="str">
        <f t="shared" si="1"/>
        <v/>
      </c>
      <c r="I57" s="434"/>
      <c r="J57" s="434"/>
    </row>
    <row r="58" spans="1:10" s="149" customFormat="1" ht="15.75" customHeight="1">
      <c r="A58" s="416">
        <v>8</v>
      </c>
      <c r="B58" s="434"/>
      <c r="C58" s="417" t="str">
        <f t="shared" si="0"/>
        <v/>
      </c>
      <c r="D58" s="434"/>
      <c r="E58" s="436"/>
      <c r="F58" s="419">
        <v>8</v>
      </c>
      <c r="G58" s="434"/>
      <c r="H58" s="417" t="str">
        <f t="shared" si="1"/>
        <v/>
      </c>
      <c r="I58" s="434"/>
      <c r="J58" s="434"/>
    </row>
    <row r="59" spans="1:10" s="149" customFormat="1" ht="15.75" customHeight="1">
      <c r="A59" s="416">
        <v>9</v>
      </c>
      <c r="B59" s="434"/>
      <c r="C59" s="417" t="str">
        <f t="shared" si="0"/>
        <v/>
      </c>
      <c r="D59" s="434"/>
      <c r="E59" s="436"/>
      <c r="F59" s="419">
        <v>9</v>
      </c>
      <c r="G59" s="434"/>
      <c r="H59" s="417" t="str">
        <f t="shared" si="1"/>
        <v/>
      </c>
      <c r="I59" s="434"/>
      <c r="J59" s="434"/>
    </row>
    <row r="60" spans="1:10" s="149" customFormat="1" ht="15.75" customHeight="1">
      <c r="A60" s="416">
        <v>10</v>
      </c>
      <c r="B60" s="434"/>
      <c r="C60" s="417" t="str">
        <f t="shared" si="0"/>
        <v/>
      </c>
      <c r="D60" s="434"/>
      <c r="E60" s="436"/>
      <c r="F60" s="419">
        <v>10</v>
      </c>
      <c r="G60" s="434"/>
      <c r="H60" s="417" t="str">
        <f t="shared" si="1"/>
        <v/>
      </c>
      <c r="I60" s="434"/>
      <c r="J60" s="434"/>
    </row>
    <row r="61" spans="1:10" s="149" customFormat="1" ht="15.75" customHeight="1">
      <c r="A61" s="416">
        <v>11</v>
      </c>
      <c r="B61" s="434"/>
      <c r="C61" s="417" t="str">
        <f t="shared" si="0"/>
        <v/>
      </c>
      <c r="D61" s="434"/>
      <c r="E61" s="436"/>
      <c r="F61" s="419">
        <v>11</v>
      </c>
      <c r="G61" s="434"/>
      <c r="H61" s="417" t="str">
        <f t="shared" si="1"/>
        <v/>
      </c>
      <c r="I61" s="434"/>
      <c r="J61" s="434"/>
    </row>
    <row r="62" spans="1:10" s="84" customFormat="1" ht="15.75" customHeight="1">
      <c r="A62" s="416">
        <v>12</v>
      </c>
      <c r="B62" s="434"/>
      <c r="C62" s="417" t="str">
        <f t="shared" si="0"/>
        <v/>
      </c>
      <c r="D62" s="434"/>
      <c r="E62" s="436"/>
      <c r="F62" s="419">
        <v>12</v>
      </c>
      <c r="G62" s="434"/>
      <c r="H62" s="417" t="str">
        <f t="shared" si="1"/>
        <v/>
      </c>
      <c r="I62" s="434"/>
      <c r="J62" s="434"/>
    </row>
    <row r="63" spans="1:10" s="84" customFormat="1" ht="15.75" customHeight="1">
      <c r="A63" s="416">
        <v>13</v>
      </c>
      <c r="B63" s="434"/>
      <c r="C63" s="417" t="str">
        <f t="shared" si="0"/>
        <v/>
      </c>
      <c r="D63" s="434"/>
      <c r="E63" s="436"/>
      <c r="F63" s="419">
        <v>13</v>
      </c>
      <c r="G63" s="434"/>
      <c r="H63" s="417" t="str">
        <f t="shared" si="1"/>
        <v/>
      </c>
      <c r="I63" s="434"/>
      <c r="J63" s="434"/>
    </row>
    <row r="64" spans="1:10" s="84" customFormat="1" ht="15.75" customHeight="1">
      <c r="A64" s="416">
        <v>14</v>
      </c>
      <c r="B64" s="434"/>
      <c r="C64" s="417" t="str">
        <f t="shared" si="0"/>
        <v/>
      </c>
      <c r="D64" s="434"/>
      <c r="E64" s="436"/>
      <c r="F64" s="419">
        <v>14</v>
      </c>
      <c r="G64" s="434"/>
      <c r="H64" s="417" t="str">
        <f t="shared" si="1"/>
        <v/>
      </c>
      <c r="I64" s="434"/>
      <c r="J64" s="434"/>
    </row>
    <row r="65" spans="1:10" s="84" customFormat="1" ht="15.75" customHeight="1">
      <c r="A65" s="416">
        <v>15</v>
      </c>
      <c r="B65" s="434"/>
      <c r="C65" s="417" t="str">
        <f t="shared" si="0"/>
        <v/>
      </c>
      <c r="D65" s="434"/>
      <c r="E65" s="436"/>
      <c r="F65" s="419">
        <v>15</v>
      </c>
      <c r="G65" s="434"/>
      <c r="H65" s="417" t="str">
        <f t="shared" si="1"/>
        <v/>
      </c>
      <c r="I65" s="434"/>
      <c r="J65" s="434"/>
    </row>
    <row r="66" spans="1:10" s="84" customFormat="1" ht="12" customHeight="1"/>
    <row r="67" spans="1:10" s="84" customFormat="1" ht="15.95" customHeight="1" thickBot="1">
      <c r="A67" s="46" t="s">
        <v>21</v>
      </c>
      <c r="B67" s="47"/>
      <c r="C67" s="47"/>
      <c r="D67" s="47"/>
      <c r="E67" s="47"/>
      <c r="F67" s="47"/>
      <c r="G67" s="47"/>
      <c r="H67" s="47"/>
      <c r="I67" s="47"/>
      <c r="J67" s="47"/>
    </row>
    <row r="68" spans="1:10" s="84" customFormat="1" ht="15.95" customHeight="1">
      <c r="A68" s="558" t="s">
        <v>16</v>
      </c>
      <c r="B68" s="558"/>
      <c r="C68" s="558"/>
      <c r="D68" s="558"/>
      <c r="E68" s="599"/>
      <c r="F68" s="557" t="s">
        <v>18</v>
      </c>
      <c r="G68" s="558"/>
      <c r="H68" s="558"/>
      <c r="I68" s="558"/>
      <c r="J68" s="558"/>
    </row>
    <row r="69" spans="1:10" s="84" customFormat="1" ht="15.95" customHeight="1">
      <c r="A69" s="560" t="str">
        <f>IF(Scale.Unit="Scale Graduations (L)","Neck Scale Reading @ 0 psig (L)",IF(Scale.Unit="Scale Graduations (mL)","Neck Scale Reading @ 0 psig (mL)",IF(Scale.Unit="Scale Graduations (gal)","Neck Scale Reading @ 0 psig (gal)","Neck Scale Reading @ 0 psig (in³)")))</f>
        <v>Neck Scale Reading @ 0 psig (gal)</v>
      </c>
      <c r="B69" s="560"/>
      <c r="C69" s="560"/>
      <c r="D69" s="560"/>
      <c r="E69" s="435"/>
      <c r="F69" s="559" t="str">
        <f>IF(Scale.Unit="Scale Graduations (L)","Neck Scale Reading @ 0 psig (L)",IF(Scale.Unit="Scale Graduations (mL)","Neck Scale Reading @ 0 psig (mL)",IF(Scale.Unit="Scale Graduations (gal)","Neck Scale Reading @ 0 psig (gal)","Neck Scale Reading @ 0 psig (in³)")))</f>
        <v>Neck Scale Reading @ 0 psig (gal)</v>
      </c>
      <c r="G69" s="560"/>
      <c r="H69" s="560"/>
      <c r="I69" s="560"/>
      <c r="J69" s="430"/>
    </row>
    <row r="70" spans="1:10" s="84" customFormat="1" ht="15.95" customHeight="1">
      <c r="A70" s="546" t="s">
        <v>56</v>
      </c>
      <c r="B70" s="553"/>
      <c r="C70" s="553"/>
      <c r="D70" s="554"/>
      <c r="E70" s="436"/>
      <c r="F70" s="548" t="s">
        <v>56</v>
      </c>
      <c r="G70" s="552"/>
      <c r="H70" s="552"/>
      <c r="I70" s="552"/>
      <c r="J70" s="434"/>
    </row>
    <row r="71" spans="1:10" s="84" customFormat="1" ht="15.95" customHeight="1">
      <c r="A71" s="552" t="s">
        <v>57</v>
      </c>
      <c r="B71" s="552"/>
      <c r="C71" s="552"/>
      <c r="D71" s="552"/>
      <c r="E71" s="436"/>
      <c r="F71" s="548" t="s">
        <v>57</v>
      </c>
      <c r="G71" s="552"/>
      <c r="H71" s="552"/>
      <c r="I71" s="552"/>
      <c r="J71" s="434"/>
    </row>
    <row r="72" spans="1:10" s="84" customFormat="1" ht="15.95" customHeight="1">
      <c r="A72" s="552" t="s">
        <v>58</v>
      </c>
      <c r="B72" s="552"/>
      <c r="C72" s="552"/>
      <c r="D72" s="552"/>
      <c r="E72" s="436"/>
      <c r="F72" s="548" t="s">
        <v>58</v>
      </c>
      <c r="G72" s="552"/>
      <c r="H72" s="552"/>
      <c r="I72" s="552"/>
      <c r="J72" s="434"/>
    </row>
    <row r="73" spans="1:10" s="84" customFormat="1" ht="15.95" customHeight="1">
      <c r="A73" s="552" t="s">
        <v>59</v>
      </c>
      <c r="B73" s="552"/>
      <c r="C73" s="552"/>
      <c r="D73" s="552"/>
      <c r="E73" s="420" t="str">
        <f>IF(ISERROR(AVERAGE(E70:E72)),"",AVERAGE(E70:E72))</f>
        <v/>
      </c>
      <c r="F73" s="548" t="s">
        <v>59</v>
      </c>
      <c r="G73" s="552"/>
      <c r="H73" s="552"/>
      <c r="I73" s="552"/>
      <c r="J73" s="421" t="str">
        <f>IF(ISERROR(AVERAGE(J70:J72)),"",AVERAGE(J70:J72))</f>
        <v/>
      </c>
    </row>
    <row r="74" spans="1:10" s="84" customFormat="1" ht="12" customHeight="1">
      <c r="A74" s="150"/>
      <c r="B74" s="151"/>
      <c r="C74" s="151"/>
      <c r="D74" s="151"/>
      <c r="E74" s="152"/>
      <c r="F74" s="150"/>
      <c r="G74" s="151"/>
      <c r="H74" s="151"/>
      <c r="I74" s="151"/>
      <c r="J74" s="152"/>
    </row>
    <row r="75" spans="1:10" s="84" customFormat="1" ht="15.95" customHeight="1" thickBot="1">
      <c r="A75" s="46" t="s">
        <v>28</v>
      </c>
      <c r="B75" s="153"/>
      <c r="C75" s="153"/>
      <c r="D75" s="153"/>
      <c r="E75" s="153"/>
      <c r="F75" s="153"/>
      <c r="G75" s="153"/>
      <c r="H75" s="153"/>
      <c r="I75" s="153"/>
      <c r="J75" s="153"/>
    </row>
    <row r="76" spans="1:10" s="84" customFormat="1" ht="15.95" customHeight="1">
      <c r="A76" s="610" t="str">
        <f>IF(RefTempUnit="Designated Reference Temperature For This Calibration (ºC)","Adjust prover for Nominal Volume at "&amp;RefT&amp;" ºC and 100 psig","Adjust prover for Nominal Volume at "&amp;RefT&amp;" ºF and 100 psig")</f>
        <v>Adjust prover for Nominal Volume at  ºF and 100 psig</v>
      </c>
      <c r="B76" s="610"/>
      <c r="C76" s="610"/>
      <c r="D76" s="610"/>
      <c r="E76" s="610"/>
      <c r="F76" s="610"/>
      <c r="G76" s="610"/>
      <c r="H76" s="610"/>
      <c r="I76" s="610"/>
      <c r="J76" s="610"/>
    </row>
    <row r="77" spans="1:10" ht="16.5">
      <c r="A77" s="603" t="s">
        <v>68</v>
      </c>
      <c r="B77" s="604"/>
      <c r="C77" s="604"/>
      <c r="D77" s="604"/>
      <c r="E77" s="604"/>
      <c r="F77" s="604"/>
      <c r="G77" s="604"/>
      <c r="H77" s="604"/>
      <c r="I77" s="605"/>
      <c r="J77" s="430"/>
    </row>
    <row r="78" spans="1:10" s="84" customFormat="1" ht="15.95" customHeight="1">
      <c r="A78" s="546" t="str">
        <f>IF(Scale.Unit="Scale Graduations (L)","Neck Scale Reading As Found @ 100 psig (L)",IF(Scale.Unit="Scale Graduations (mL)","Neck Scale Reading As Found @ 100 psig (mL)",IF(Scale.Unit="Scale Graduations (gal)","Neck Scale Reading As Found @ 100 psig (gal)","Neck Scale Reading As Found @ 100 psig (in³)")))</f>
        <v>Neck Scale Reading As Found @ 100 psig (gal)</v>
      </c>
      <c r="B78" s="547"/>
      <c r="C78" s="547"/>
      <c r="D78" s="547"/>
      <c r="E78" s="547"/>
      <c r="F78" s="547"/>
      <c r="G78" s="547"/>
      <c r="H78" s="547"/>
      <c r="I78" s="548"/>
      <c r="J78" s="430"/>
    </row>
    <row r="79" spans="1:10" s="84" customFormat="1" ht="36" customHeight="1">
      <c r="A79" s="606" t="str">
        <f>IF(RefTempUnit="Designated Reference Temperature For This Calibration (ºC)","Desired Neck Scale Reading at "&amp;RefT&amp;" ºC and 100 psig is ","Desired Neck Scale Reading at "&amp;RefT&amp;" ºF and 100 psig is ")</f>
        <v xml:space="preserve">Desired Neck Scale Reading at  ºF and 100 psig is </v>
      </c>
      <c r="B79" s="607"/>
      <c r="C79" s="607"/>
      <c r="D79" s="607"/>
      <c r="E79" s="607"/>
      <c r="F79" s="607"/>
      <c r="G79" s="608" t="str">
        <f>IF(ISERROR(FIXED(Z60.2-Nom_Val*'Water Compressability'!C51,3,TRUE)),"TBD",IF(NomValUnit="Nominal Volume (gal)",FIXED(Z60.2-Nom_Val*'Water Compressability'!C51,3,TRUE)&amp;" gallons or "&amp;FIXED(Z60.2-Nom_Val*'Water Compressability'!C51,3,TRUE)*231&amp;" in³",FIXED(Z60.2-Nom_Val*'Water Compressability'!C51,3,TRUE)&amp;" liters or "&amp;FIXED(Z60.2-Nom_Val*'Water Compressability'!C51,3,TRUE)*1000&amp;" mL"))</f>
        <v>TBD</v>
      </c>
      <c r="H79" s="608"/>
      <c r="I79" s="608"/>
      <c r="J79" s="609"/>
    </row>
    <row r="80" spans="1:10" s="84" customFormat="1" ht="40.5" customHeight="1">
      <c r="A80" s="543" t="s">
        <v>157</v>
      </c>
      <c r="B80" s="544"/>
      <c r="C80" s="544"/>
      <c r="D80" s="544"/>
      <c r="E80" s="544"/>
      <c r="F80" s="544"/>
      <c r="G80" s="544"/>
      <c r="H80" s="544"/>
      <c r="I80" s="544"/>
      <c r="J80" s="544"/>
    </row>
    <row r="81" spans="1:12" s="84" customFormat="1" ht="33.75" customHeight="1">
      <c r="A81" s="422" t="s">
        <v>36</v>
      </c>
      <c r="B81" s="541" t="str">
        <f>IF(RefTempUnit="Designated Reference Temperature For This Calibration (ºC)","If the top scale is adjustable, then adjust the upper scale to read the Desired 
Gauge Reading at "&amp;RefT&amp;" ºC and 100 psig.","If the top scale is adjustable, then adjust the upper scale to read the Desired 
Gauge Reading at "&amp;RefT&amp;" ºF and 100 psig.")</f>
        <v>If the top scale is adjustable, then adjust the upper scale to read the Desired 
Gauge Reading at  ºF and 100 psig.</v>
      </c>
      <c r="C81" s="541"/>
      <c r="D81" s="541"/>
      <c r="E81" s="541"/>
      <c r="F81" s="541"/>
      <c r="G81" s="541"/>
      <c r="H81" s="541"/>
      <c r="I81" s="541"/>
      <c r="J81" s="542"/>
    </row>
    <row r="82" spans="1:12" s="84" customFormat="1" ht="16.5" customHeight="1">
      <c r="A82" s="423" t="s">
        <v>37</v>
      </c>
      <c r="B82" s="545" t="s">
        <v>156</v>
      </c>
      <c r="C82" s="545"/>
      <c r="D82" s="545"/>
      <c r="E82" s="545"/>
      <c r="F82" s="545"/>
      <c r="G82" s="545"/>
      <c r="H82" s="424" t="str">
        <f>IF(OR(J77=0,J77=""),"",IF(AND(Scale.Unit="Scale Graduations (in³)",(Z60.2*231)-(Nom_Val*231)*'Water Compressability'!C51-J78)&gt;0,"UP ",IF(AND(Scale.Unit="Scale Graduations (mL)",(Z60.2*1000)-(Nom_Val*1000)*'Water Compressability'!C51-J78)&gt;0,"UP ",IF(AND(OR(Scale.Unit="Scale Graduations (L)",Scale.Unit="Scale Graduations (gal)"),Z60.2-Nom_Val*'Water Compressability'!C51-J78)&gt;0,"UP ","DOWN "))))</f>
        <v/>
      </c>
      <c r="I82" s="539" t="str">
        <f>IF(OR(J77=0,J77=""),"N/A",IF(Scale.Unit="Scale Graduations (L)",FIXED(4*(ABS((Z60.2-Nom_Val*'Water Compressability'!C51)*61.02374-J78*61.02374)*J77)/(PI()*J77^2),2,TRUE),IF(Scale.Unit="Scale Graduations (mL)",FIXED(4*(ABS((Z60.2-Nom_Val*'Water Compressability'!C51)*0.06102374-J78*0.06102374)*J77)/(PI()*J77^2),2,TRUE),IF(Scale.Unit="Scale Graduations (gal)",FIXED(4*(ABS((Z60.2-Nom_Val*'Water Compressability'!C51)*231-J78*231)*J77)/(PI()*J77^2),2,TRUE),FIXED(4*(ABS(Z60.2-Nom_Val*'Water Compressability'!C51)*231-J78*J77)/(PI()*J77^2),2,TRUE))))&amp;" inches")</f>
        <v>N/A</v>
      </c>
      <c r="J82" s="540"/>
      <c r="L82" s="85"/>
    </row>
    <row r="83" spans="1:12" s="84" customFormat="1" ht="42" customHeight="1">
      <c r="A83" s="536" t="s">
        <v>179</v>
      </c>
      <c r="B83" s="537"/>
      <c r="C83" s="537"/>
      <c r="D83" s="537"/>
      <c r="E83" s="537"/>
      <c r="F83" s="537"/>
      <c r="G83" s="537"/>
      <c r="H83" s="537"/>
      <c r="I83" s="537"/>
      <c r="J83" s="538"/>
      <c r="L83" s="85"/>
    </row>
    <row r="84" spans="1:12" s="84" customFormat="1" ht="42" customHeight="1">
      <c r="A84" s="156" t="s">
        <v>60</v>
      </c>
      <c r="B84" s="614" t="s">
        <v>155</v>
      </c>
      <c r="C84" s="614"/>
      <c r="D84" s="614"/>
      <c r="E84" s="614"/>
      <c r="F84" s="614"/>
      <c r="G84" s="614"/>
      <c r="H84" s="614"/>
      <c r="I84" s="614"/>
      <c r="J84" s="615"/>
      <c r="L84" s="85"/>
    </row>
    <row r="85" spans="1:12" s="84" customFormat="1" ht="81" customHeight="1">
      <c r="A85" s="140" t="s">
        <v>60</v>
      </c>
      <c r="B85" s="582" t="str">
        <f>IF(RefTempUnit="Designated Reference Temperature For This Calibration (ºC)","It is best to report the actual volume at 100 psig to ensure that the owner/user applies the correction properly. (A high neck scale reading at 100 psig means the prover is small and the volume reported at "&amp;RefT&amp;" ºC and 100 psig should be less than the nominal value of the prover.) The prover error is added to the nominal volume to determine the prover volume (see the Pressure Corrections worksheet).","It is best to report the actual volume at 100 psig to ensure that the owner/user applies the correction properly. (A high neck scale reading at 100 psig means the prover is small and the volume reported at "&amp;RefT&amp;" ºF and 100 psig should be less than the nominal value of the prover.) The prover error is added to the nominal volume to determine the prover volume (see the Pressure Corrections worksheet).")</f>
        <v>It is best to report the actual volume at 100 psig to ensure that the owner/user applies the correction properly. (A high neck scale reading at 100 psig means the prover is small and the volume reported at  ºF and 100 psig should be less than the nominal value of the prover.) The prover error is added to the nominal volume to determine the prover volume (see the Pressure Corrections worksheet).</v>
      </c>
      <c r="C85" s="582"/>
      <c r="D85" s="582"/>
      <c r="E85" s="582"/>
      <c r="F85" s="582"/>
      <c r="G85" s="582"/>
      <c r="H85" s="582"/>
      <c r="I85" s="582"/>
      <c r="J85" s="583"/>
      <c r="L85" s="85"/>
    </row>
    <row r="86" spans="1:12" s="84" customFormat="1" ht="42" customHeight="1">
      <c r="A86" s="156" t="s">
        <v>60</v>
      </c>
      <c r="B86" s="580" t="s">
        <v>267</v>
      </c>
      <c r="C86" s="580"/>
      <c r="D86" s="580"/>
      <c r="E86" s="580"/>
      <c r="F86" s="580"/>
      <c r="G86" s="580"/>
      <c r="H86" s="580"/>
      <c r="I86" s="580"/>
      <c r="J86" s="581"/>
      <c r="L86" s="85"/>
    </row>
    <row r="87" spans="1:12" s="84" customFormat="1" ht="15.95" customHeight="1">
      <c r="A87" s="546" t="str">
        <f>IF(Scale.Unit="Scale Graduations (L)","Neck Scale Reading As Left @ 100 psig (L)",IF(Scale.Unit="Scale Graduations (mL)","Neck Scale Reading As Left @ 100 psig (mL)",IF(Scale.Unit="Scale Graduations (gal)","Neck Scale Reading As Left @ 100 psig (gal)","Neck Scale Reading As Left @ 100 psig (in³)")))</f>
        <v>Neck Scale Reading As Left @ 100 psig (gal)</v>
      </c>
      <c r="B87" s="547"/>
      <c r="C87" s="547"/>
      <c r="D87" s="547"/>
      <c r="E87" s="547"/>
      <c r="F87" s="547"/>
      <c r="G87" s="547"/>
      <c r="H87" s="547"/>
      <c r="I87" s="548"/>
      <c r="J87" s="434"/>
    </row>
    <row r="88" spans="1:12" s="84" customFormat="1" ht="15.95" customHeight="1">
      <c r="A88" s="546" t="s">
        <v>145</v>
      </c>
      <c r="B88" s="547"/>
      <c r="C88" s="547"/>
      <c r="D88" s="547"/>
      <c r="E88" s="547"/>
      <c r="F88" s="547"/>
      <c r="G88" s="547"/>
      <c r="H88" s="547"/>
      <c r="I88" s="548"/>
      <c r="J88" s="437"/>
    </row>
    <row r="89" spans="1:12" s="84" customFormat="1" ht="15.95" customHeight="1">
      <c r="A89" s="613" t="s">
        <v>29</v>
      </c>
      <c r="B89" s="613"/>
      <c r="C89" s="613"/>
      <c r="D89" s="613"/>
      <c r="E89" s="613"/>
      <c r="F89" s="613"/>
      <c r="G89" s="613"/>
      <c r="H89" s="613"/>
      <c r="I89" s="613"/>
      <c r="J89" s="613"/>
    </row>
    <row r="90" spans="1:12" s="84" customFormat="1" ht="15.95" customHeight="1">
      <c r="A90" s="611" t="s">
        <v>30</v>
      </c>
      <c r="B90" s="612"/>
      <c r="C90" s="612"/>
      <c r="D90" s="612"/>
      <c r="E90" s="612"/>
      <c r="F90" s="611" t="s">
        <v>31</v>
      </c>
      <c r="G90" s="611"/>
      <c r="H90" s="611"/>
      <c r="I90" s="611"/>
      <c r="J90" s="612"/>
    </row>
    <row r="91" spans="1:12" s="84" customFormat="1" ht="15.95" customHeight="1">
      <c r="A91" s="552" t="str">
        <f>IF(Scale.Unit="Scale Graduations (L)","Neck Scale Reading @ 0 psig (L)",IF(Scale.Unit="Scale Graduations (mL)","Neck Scale Reading @ 0 psig (mL)",IF(Scale.Unit="Scale Graduations (gal)","Neck Scale Reading @ 0 psig (gal)","Neck Scale Reading @ 0 psig (in³)")))</f>
        <v>Neck Scale Reading @ 0 psig (gal)</v>
      </c>
      <c r="B91" s="552"/>
      <c r="C91" s="552"/>
      <c r="D91" s="552"/>
      <c r="E91" s="434"/>
      <c r="F91" s="552" t="str">
        <f>IF(Scale.Unit="Scale Graduations (L)","Neck Scale Reading @ 150 psig (L)",IF(Scale.Unit="Scale Graduations (mL)","Neck Scale Reading @ 150 psig (mL)",IF(Scale.Unit="Scale Graduations (gal)","Neck Scale Reading @ 150 psig (gal)","Neck Scale Reading @ 150 psig (in³)")))</f>
        <v>Neck Scale Reading @ 150 psig (gal)</v>
      </c>
      <c r="G91" s="552"/>
      <c r="H91" s="552"/>
      <c r="I91" s="552"/>
      <c r="J91" s="434"/>
    </row>
    <row r="92" spans="1:12" s="84" customFormat="1" ht="15.95" customHeight="1">
      <c r="A92" s="552" t="str">
        <f>IF(Scale.Unit="Scale Graduations (L)","Neck Scale Reading @ 50 psig (L)",IF(Scale.Unit="Scale Graduations (mL)","Neck Scale Reading @ 50 psig (mL)",IF(Scale.Unit="Scale Graduations (gal)","Neck Scale Reading @ 50 psig (gal)","Neck Scale Reading @ 50 psig (in³)")))</f>
        <v>Neck Scale Reading @ 50 psig (gal)</v>
      </c>
      <c r="B92" s="552"/>
      <c r="C92" s="552"/>
      <c r="D92" s="552"/>
      <c r="E92" s="434"/>
      <c r="F92" s="552" t="str">
        <f>IF(Scale.Unit="Scale Graduations (L)","Neck Scale Reading @ 100 psig (L)",IF(Scale.Unit="Scale Graduations (mL)","Neck Scale Reading @ 100 psig (mL)",IF(Scale.Unit="Scale Graduations (gal)","Neck Scale Reading @ 100 psig (gal)","Neck Scale Reading @ 100 psig (in³)")))</f>
        <v>Neck Scale Reading @ 100 psig (gal)</v>
      </c>
      <c r="G92" s="552"/>
      <c r="H92" s="552"/>
      <c r="I92" s="552"/>
      <c r="J92" s="434"/>
    </row>
    <row r="93" spans="1:12" s="84" customFormat="1" ht="15.95" customHeight="1">
      <c r="A93" s="552" t="str">
        <f>IF(Scale.Unit="Scale Graduations (L)","Neck Scale Reading @ 100 psig (L)",IF(Scale.Unit="Scale Graduations (mL)","Neck Scale Reading @ 100 psig (mL)",IF(Scale.Unit="Scale Graduations (gal)","Neck Scale Reading @ 100 psig (gal)","Neck Scale Reading @ 100 psig (in³)")))</f>
        <v>Neck Scale Reading @ 100 psig (gal)</v>
      </c>
      <c r="B93" s="552"/>
      <c r="C93" s="552"/>
      <c r="D93" s="552"/>
      <c r="E93" s="434"/>
      <c r="F93" s="552" t="str">
        <f>IF(Scale.Unit="Scale Graduations (L)","Neck Scale Reading @ 50 psig (L)",IF(Scale.Unit="Scale Graduations (mL)","Neck Scale Reading @ 50 psig (mL)",IF(Scale.Unit="Scale Graduations (gal)","Neck Scale Reading @ 50 psig (gal)","Neck Scale Reading @ 50 psig (in³)")))</f>
        <v>Neck Scale Reading @ 50 psig (gal)</v>
      </c>
      <c r="G93" s="552"/>
      <c r="H93" s="552"/>
      <c r="I93" s="552"/>
      <c r="J93" s="434"/>
    </row>
    <row r="94" spans="1:12" s="84" customFormat="1" ht="15.95" customHeight="1">
      <c r="A94" s="552" t="str">
        <f>IF(Scale.Unit="Scale Graduations (L)","Neck Scale Reading @ 150 psig (L)",IF(Scale.Unit="Scale Graduations (mL)","Neck Scale Reading @ 150 psig (mL)",IF(Scale.Unit="Scale Graduations (gal)","Neck Scale Reading @ 150 psig (gal)","Neck Scale Reading @ 150 psig (in³)")))</f>
        <v>Neck Scale Reading @ 150 psig (gal)</v>
      </c>
      <c r="B94" s="552"/>
      <c r="C94" s="552"/>
      <c r="D94" s="552"/>
      <c r="E94" s="434"/>
      <c r="F94" s="552" t="str">
        <f>IF(Scale.Unit="Scale Graduations (L)","Neck Scale Reading @ 0 psig (L)",IF(Scale.Unit="Scale Graduations (mL)","Neck Scale Reading @ 0 psig (mL)",IF(Scale.Unit="Scale Graduations (gal)","Neck Scale Reading @ 0 psig (gal)","Neck Scale Reading @ 0 psig (in³)")))</f>
        <v>Neck Scale Reading @ 0 psig (gal)</v>
      </c>
      <c r="G94" s="552"/>
      <c r="H94" s="552"/>
      <c r="I94" s="552"/>
      <c r="J94" s="434"/>
    </row>
    <row r="95" spans="1:12" s="84" customFormat="1" ht="15.95" customHeight="1">
      <c r="A95" s="552" t="str">
        <f>IF(Scale.Unit="Scale Graduations (L)","Neck Scale Reading @ 200 psig (L)",IF(Scale.Unit="Scale Graduations (mL)","Neck Scale Reading @ 200 psig (mL)",IF(Scale.Unit="Scale Graduations (gal)","Neck Scale Reading @ 200 psig (gal)","Neck Scale Reading @ 200 psig (in³)")))</f>
        <v>Neck Scale Reading @ 200 psig (gal)</v>
      </c>
      <c r="B95" s="552"/>
      <c r="C95" s="552"/>
      <c r="D95" s="552"/>
      <c r="E95" s="434"/>
      <c r="F95" s="574"/>
      <c r="G95" s="575"/>
      <c r="H95" s="575"/>
      <c r="I95" s="575"/>
      <c r="J95" s="576"/>
    </row>
    <row r="96" spans="1:12" s="84" customFormat="1" ht="15.95" customHeight="1">
      <c r="A96" s="546" t="s">
        <v>75</v>
      </c>
      <c r="B96" s="553"/>
      <c r="C96" s="554"/>
      <c r="D96" s="572"/>
      <c r="E96" s="573"/>
      <c r="F96" s="577" t="s">
        <v>76</v>
      </c>
      <c r="G96" s="578"/>
      <c r="H96" s="579"/>
      <c r="I96" s="572"/>
      <c r="J96" s="573"/>
    </row>
    <row r="97" spans="1:10" s="84" customFormat="1" ht="15.95" customHeight="1"/>
    <row r="98" spans="1:10" s="84" customFormat="1" ht="15.95" customHeight="1" thickBot="1">
      <c r="A98" s="46" t="s">
        <v>12</v>
      </c>
      <c r="B98" s="47"/>
      <c r="C98" s="47"/>
      <c r="D98" s="47"/>
      <c r="E98" s="47"/>
      <c r="F98" s="47"/>
      <c r="G98" s="47"/>
      <c r="H98" s="438"/>
      <c r="I98" s="438"/>
      <c r="J98" s="438"/>
    </row>
    <row r="99" spans="1:10" s="84" customFormat="1" ht="15.95" customHeight="1">
      <c r="A99" s="365" t="s">
        <v>316</v>
      </c>
      <c r="B99" s="510" t="s">
        <v>98</v>
      </c>
      <c r="C99" s="525"/>
      <c r="D99" s="432"/>
      <c r="E99" s="510" t="s">
        <v>11</v>
      </c>
      <c r="F99" s="525"/>
      <c r="G99" s="433"/>
      <c r="H99" s="439"/>
      <c r="I99" s="152"/>
      <c r="J99" s="152"/>
    </row>
    <row r="100" spans="1:10" customFormat="1" ht="15.95" customHeight="1"/>
    <row r="101" spans="1:10" s="84" customFormat="1" ht="15.95" customHeight="1" thickBot="1">
      <c r="A101" s="46" t="s">
        <v>557</v>
      </c>
      <c r="B101" s="474"/>
      <c r="C101" s="475"/>
      <c r="D101" s="476"/>
      <c r="E101" s="474"/>
      <c r="F101" s="475"/>
      <c r="G101" s="476"/>
      <c r="H101" s="153"/>
      <c r="I101" s="152"/>
      <c r="J101" s="152"/>
    </row>
    <row r="102" spans="1:10" s="84" customFormat="1" ht="15.95" customHeight="1">
      <c r="A102" s="495" t="s">
        <v>558</v>
      </c>
      <c r="B102" s="495"/>
      <c r="C102" s="495"/>
      <c r="D102" s="495"/>
      <c r="E102" s="477"/>
      <c r="F102" s="478" t="s">
        <v>559</v>
      </c>
      <c r="G102" s="477"/>
      <c r="H102" s="478" t="s">
        <v>560</v>
      </c>
      <c r="I102" s="479"/>
      <c r="J102" s="479"/>
    </row>
    <row r="103" spans="1:10" s="84" customFormat="1" ht="15.95" customHeight="1">
      <c r="A103" s="496" t="s">
        <v>561</v>
      </c>
      <c r="B103" s="496"/>
      <c r="C103" s="496"/>
      <c r="D103" s="496"/>
      <c r="E103" s="497"/>
      <c r="F103" s="497"/>
      <c r="G103" s="497"/>
      <c r="H103" s="497"/>
      <c r="I103" s="479"/>
      <c r="J103" s="479"/>
    </row>
    <row r="104" spans="1:10" s="84" customFormat="1" ht="15.95" customHeight="1"/>
    <row r="105" spans="1:10" s="84" customFormat="1" ht="15.95" hidden="1" customHeight="1"/>
    <row r="106" spans="1:10" s="84" customFormat="1" ht="15.95" hidden="1" customHeight="1"/>
    <row r="107" spans="1:10" hidden="1"/>
    <row r="108" spans="1:10" hidden="1"/>
    <row r="109" spans="1:10" hidden="1"/>
    <row r="110" spans="1:10" hidden="1"/>
    <row r="111" spans="1:10" hidden="1"/>
    <row r="112" spans="1:10" hidden="1"/>
    <row r="113" hidden="1"/>
    <row r="114" hidden="1"/>
    <row r="115" hidden="1"/>
    <row r="116" hidden="1"/>
    <row r="117" hidden="1"/>
  </sheetData>
  <sheetProtection password="FFED" sheet="1" objects="1" scenarios="1" selectLockedCells="1"/>
  <dataConsolidate/>
  <mergeCells count="131">
    <mergeCell ref="A89:J89"/>
    <mergeCell ref="B27:C27"/>
    <mergeCell ref="D27:E27"/>
    <mergeCell ref="F27:G27"/>
    <mergeCell ref="B28:C28"/>
    <mergeCell ref="D28:E28"/>
    <mergeCell ref="B84:J84"/>
    <mergeCell ref="G43:H43"/>
    <mergeCell ref="I41:J43"/>
    <mergeCell ref="A88:I88"/>
    <mergeCell ref="A90:E90"/>
    <mergeCell ref="F90:J90"/>
    <mergeCell ref="F91:I91"/>
    <mergeCell ref="A94:D94"/>
    <mergeCell ref="A92:D92"/>
    <mergeCell ref="A91:D91"/>
    <mergeCell ref="A93:D93"/>
    <mergeCell ref="F92:I92"/>
    <mergeCell ref="F94:I94"/>
    <mergeCell ref="B99:C99"/>
    <mergeCell ref="E99:F99"/>
    <mergeCell ref="A77:I77"/>
    <mergeCell ref="A79:F79"/>
    <mergeCell ref="G79:J79"/>
    <mergeCell ref="F72:I72"/>
    <mergeCell ref="A72:D72"/>
    <mergeCell ref="A76:J76"/>
    <mergeCell ref="A73:D73"/>
    <mergeCell ref="F73:I73"/>
    <mergeCell ref="G19:I19"/>
    <mergeCell ref="A69:D69"/>
    <mergeCell ref="A68:E68"/>
    <mergeCell ref="A41:C41"/>
    <mergeCell ref="B46:C46"/>
    <mergeCell ref="A43:C43"/>
    <mergeCell ref="E42:F42"/>
    <mergeCell ref="B37:C37"/>
    <mergeCell ref="B36:C36"/>
    <mergeCell ref="E41:F41"/>
    <mergeCell ref="B26:C26"/>
    <mergeCell ref="D26:E26"/>
    <mergeCell ref="G41:H41"/>
    <mergeCell ref="B38:C38"/>
    <mergeCell ref="G42:H42"/>
    <mergeCell ref="F26:G26"/>
    <mergeCell ref="B30:C30"/>
    <mergeCell ref="D30:E30"/>
    <mergeCell ref="F30:G30"/>
    <mergeCell ref="B24:C24"/>
    <mergeCell ref="D24:E24"/>
    <mergeCell ref="F24:G24"/>
    <mergeCell ref="B25:C25"/>
    <mergeCell ref="D25:E25"/>
    <mergeCell ref="F25:G25"/>
    <mergeCell ref="A11:B11"/>
    <mergeCell ref="C10:F10"/>
    <mergeCell ref="A10:B10"/>
    <mergeCell ref="A87:I87"/>
    <mergeCell ref="A13:B13"/>
    <mergeCell ref="C13:F13"/>
    <mergeCell ref="B34:C34"/>
    <mergeCell ref="B35:C35"/>
    <mergeCell ref="A42:C42"/>
    <mergeCell ref="C11:F11"/>
    <mergeCell ref="D96:E96"/>
    <mergeCell ref="F95:J95"/>
    <mergeCell ref="F96:H96"/>
    <mergeCell ref="B86:J86"/>
    <mergeCell ref="B85:J85"/>
    <mergeCell ref="G10:H10"/>
    <mergeCell ref="I96:J96"/>
    <mergeCell ref="A95:D95"/>
    <mergeCell ref="F93:I93"/>
    <mergeCell ref="A96:C96"/>
    <mergeCell ref="C12:F12"/>
    <mergeCell ref="I10:J10"/>
    <mergeCell ref="G12:I12"/>
    <mergeCell ref="G11:I11"/>
    <mergeCell ref="B31:C31"/>
    <mergeCell ref="A15:I15"/>
    <mergeCell ref="A16:I16"/>
    <mergeCell ref="D31:E31"/>
    <mergeCell ref="F31:G31"/>
    <mergeCell ref="I18:J18"/>
    <mergeCell ref="A71:D71"/>
    <mergeCell ref="F71:I71"/>
    <mergeCell ref="F70:I70"/>
    <mergeCell ref="A70:D70"/>
    <mergeCell ref="F49:J49"/>
    <mergeCell ref="F68:J68"/>
    <mergeCell ref="F69:I69"/>
    <mergeCell ref="E43:F43"/>
    <mergeCell ref="D23:E23"/>
    <mergeCell ref="F23:G23"/>
    <mergeCell ref="A83:J83"/>
    <mergeCell ref="I82:J82"/>
    <mergeCell ref="B81:J81"/>
    <mergeCell ref="A80:J80"/>
    <mergeCell ref="B82:G82"/>
    <mergeCell ref="A78:I78"/>
    <mergeCell ref="A49:E49"/>
    <mergeCell ref="A12:B12"/>
    <mergeCell ref="G4:I4"/>
    <mergeCell ref="I13:J13"/>
    <mergeCell ref="E46:F46"/>
    <mergeCell ref="A19:E19"/>
    <mergeCell ref="C20:D20"/>
    <mergeCell ref="B23:C23"/>
    <mergeCell ref="A20:B20"/>
    <mergeCell ref="F28:G28"/>
    <mergeCell ref="F20:H20"/>
    <mergeCell ref="A14:B14"/>
    <mergeCell ref="C14:J14"/>
    <mergeCell ref="G13:H13"/>
    <mergeCell ref="A18:H18"/>
    <mergeCell ref="H1:J1"/>
    <mergeCell ref="B29:C29"/>
    <mergeCell ref="D29:E29"/>
    <mergeCell ref="F29:G29"/>
    <mergeCell ref="H6:J6"/>
    <mergeCell ref="H7:J7"/>
    <mergeCell ref="A102:D102"/>
    <mergeCell ref="A103:D103"/>
    <mergeCell ref="E103:H103"/>
    <mergeCell ref="H5:J5"/>
    <mergeCell ref="A17:H17"/>
    <mergeCell ref="A4:F4"/>
    <mergeCell ref="A5:F5"/>
    <mergeCell ref="A6:F6"/>
    <mergeCell ref="A7:F7"/>
    <mergeCell ref="I17:J17"/>
  </mergeCells>
  <phoneticPr fontId="19" type="noConversion"/>
  <conditionalFormatting sqref="D46 G46 B51:B65 D51:E65 G51:G65 I51:J65 E69:E72 J69:J72 J77:J78 J87:J88 E91:E95 D96:E96 J91:J94 I96:J96 G99 C11:F13 C20:D20 D42:D43 D35:D38 J4 H5:J5 J19:J20 I10:J10 G11:J12 C14:J14 A15:I15 J15:J16 I17:J18 H1 F19:F20 A24:A31 A35:A38 D99">
    <cfRule type="containsBlanks" dxfId="48" priority="48" stopIfTrue="1">
      <formula>LEN(TRIM(A1))=0</formula>
    </cfRule>
  </conditionalFormatting>
  <conditionalFormatting sqref="D46 G46 B51:B65 D51:E65 G51:G65 I51:J65 E69:E72 J69:J72 J77:J78 J87:J88 E91:E95 D96:E96 J91:J94 I96:J96 G99 C11:F13 C20:D20 D42:D43 D35:D38 J4 H5:J5 J19:J20 I10:J10 G11:J12 C14:J14 A15:I15 J15:J16 I17:J18 H1 F19:F20 A24:A31 A35:A38 D99">
    <cfRule type="notContainsBlanks" dxfId="47" priority="47" stopIfTrue="1">
      <formula>LEN(TRIM(A1))&gt;0</formula>
    </cfRule>
  </conditionalFormatting>
  <conditionalFormatting sqref="B24:I24">
    <cfRule type="expression" dxfId="46" priority="193" stopIfTrue="1">
      <formula>DATEVALUE($I$24)&lt;$C$20</formula>
    </cfRule>
  </conditionalFormatting>
  <conditionalFormatting sqref="B25:I25">
    <cfRule type="expression" dxfId="45" priority="194" stopIfTrue="1">
      <formula>DATEVALUE($I$25)&lt;$C$20</formula>
    </cfRule>
  </conditionalFormatting>
  <conditionalFormatting sqref="B26:I26">
    <cfRule type="expression" dxfId="44" priority="195" stopIfTrue="1">
      <formula>DATEVALUE($I$26)&lt;$C$20</formula>
    </cfRule>
  </conditionalFormatting>
  <conditionalFormatting sqref="B27:I27">
    <cfRule type="expression" dxfId="43" priority="196" stopIfTrue="1">
      <formula>DATEVALUE($I$27)&lt;$C$20</formula>
    </cfRule>
  </conditionalFormatting>
  <conditionalFormatting sqref="B28:I28">
    <cfRule type="expression" dxfId="42" priority="197" stopIfTrue="1">
      <formula>DATEVALUE($I$28)&lt;$C$20</formula>
    </cfRule>
  </conditionalFormatting>
  <conditionalFormatting sqref="B29:I29">
    <cfRule type="expression" dxfId="41" priority="198" stopIfTrue="1">
      <formula>DATEVALUE($I$29)&lt;$C$20</formula>
    </cfRule>
  </conditionalFormatting>
  <conditionalFormatting sqref="B30:I30">
    <cfRule type="expression" dxfId="40" priority="199" stopIfTrue="1">
      <formula>DATEVALUE($I$30)&lt;$C$20</formula>
    </cfRule>
  </conditionalFormatting>
  <conditionalFormatting sqref="B31:I31">
    <cfRule type="expression" dxfId="39" priority="200" stopIfTrue="1">
      <formula>DATEVALUE($I$31)&lt;$C$20</formula>
    </cfRule>
  </conditionalFormatting>
  <conditionalFormatting sqref="A4:F4">
    <cfRule type="notContainsBlanks" dxfId="38" priority="27" stopIfTrue="1">
      <formula>LEN(TRIM(A4))&gt;0</formula>
    </cfRule>
    <cfRule type="containsBlanks" dxfId="37" priority="28" stopIfTrue="1">
      <formula>LEN(TRIM(A4))=0</formula>
    </cfRule>
  </conditionalFormatting>
  <conditionalFormatting sqref="A5:F5">
    <cfRule type="notContainsBlanks" dxfId="36" priority="25" stopIfTrue="1">
      <formula>LEN(TRIM(A5))&gt;0</formula>
    </cfRule>
    <cfRule type="containsBlanks" dxfId="35" priority="26" stopIfTrue="1">
      <formula>LEN(TRIM(A5))=0</formula>
    </cfRule>
  </conditionalFormatting>
  <conditionalFormatting sqref="A6:F6">
    <cfRule type="notContainsBlanks" dxfId="34" priority="23" stopIfTrue="1">
      <formula>LEN(TRIM(A6))&gt;0</formula>
    </cfRule>
    <cfRule type="containsBlanks" dxfId="33" priority="24" stopIfTrue="1">
      <formula>LEN(TRIM(A6))=0</formula>
    </cfRule>
  </conditionalFormatting>
  <conditionalFormatting sqref="A7:F7">
    <cfRule type="notContainsBlanks" dxfId="32" priority="21" stopIfTrue="1">
      <formula>LEN(TRIM(A7))&gt;0</formula>
    </cfRule>
    <cfRule type="containsBlanks" dxfId="31" priority="22" stopIfTrue="1">
      <formula>LEN(TRIM(A7))=0</formula>
    </cfRule>
  </conditionalFormatting>
  <conditionalFormatting sqref="H6:J6">
    <cfRule type="notContainsBlanks" dxfId="30" priority="19" stopIfTrue="1">
      <formula>LEN(TRIM(H6))&gt;0</formula>
    </cfRule>
    <cfRule type="containsBlanks" dxfId="29" priority="20" stopIfTrue="1">
      <formula>LEN(TRIM(H6))=0</formula>
    </cfRule>
  </conditionalFormatting>
  <conditionalFormatting sqref="H7:J7">
    <cfRule type="notContainsBlanks" dxfId="28" priority="17" stopIfTrue="1">
      <formula>LEN(TRIM(H7))&gt;0</formula>
    </cfRule>
    <cfRule type="containsBlanks" dxfId="27" priority="18" stopIfTrue="1">
      <formula>LEN(TRIM(H7))=0</formula>
    </cfRule>
  </conditionalFormatting>
  <conditionalFormatting sqref="B24:I31">
    <cfRule type="notContainsBlanks" dxfId="26" priority="15" stopIfTrue="1">
      <formula>LEN(TRIM(B24))&gt;0</formula>
    </cfRule>
    <cfRule type="containsBlanks" dxfId="25" priority="16" stopIfTrue="1">
      <formula>LEN(TRIM(B24))=0</formula>
    </cfRule>
  </conditionalFormatting>
  <conditionalFormatting sqref="B35:C38">
    <cfRule type="notContainsBlanks" dxfId="24" priority="13" stopIfTrue="1">
      <formula>LEN(TRIM(B35))&gt;0</formula>
    </cfRule>
    <cfRule type="containsBlanks" dxfId="23" priority="14" stopIfTrue="1">
      <formula>LEN(TRIM(B35))=0</formula>
    </cfRule>
  </conditionalFormatting>
  <conditionalFormatting sqref="E35:I38">
    <cfRule type="cellIs" dxfId="22" priority="11" stopIfTrue="1" operator="notEqual">
      <formula>0</formula>
    </cfRule>
    <cfRule type="cellIs" dxfId="21" priority="12" stopIfTrue="1" operator="equal">
      <formula>0</formula>
    </cfRule>
  </conditionalFormatting>
  <conditionalFormatting sqref="J35:J38">
    <cfRule type="cellIs" dxfId="20" priority="9" stopIfTrue="1" operator="greaterThan">
      <formula>1</formula>
    </cfRule>
    <cfRule type="cellIs" dxfId="19" priority="10" stopIfTrue="1" operator="equal">
      <formula>1</formula>
    </cfRule>
  </conditionalFormatting>
  <conditionalFormatting sqref="E42:H43">
    <cfRule type="notContainsBlanks" dxfId="18" priority="7" stopIfTrue="1">
      <formula>LEN(TRIM(E42))&gt;0</formula>
    </cfRule>
    <cfRule type="containsBlanks" dxfId="17" priority="8" stopIfTrue="1">
      <formula>LEN(TRIM(E42))=0</formula>
    </cfRule>
  </conditionalFormatting>
  <conditionalFormatting sqref="E102">
    <cfRule type="containsBlanks" dxfId="16" priority="6" stopIfTrue="1">
      <formula>LEN(TRIM(E102))=0</formula>
    </cfRule>
  </conditionalFormatting>
  <conditionalFormatting sqref="E102">
    <cfRule type="notContainsBlanks" dxfId="15" priority="5" stopIfTrue="1">
      <formula>LEN(TRIM(E102))&gt;0</formula>
    </cfRule>
  </conditionalFormatting>
  <conditionalFormatting sqref="G102">
    <cfRule type="containsBlanks" dxfId="14" priority="4" stopIfTrue="1">
      <formula>LEN(TRIM(G102))=0</formula>
    </cfRule>
  </conditionalFormatting>
  <conditionalFormatting sqref="G102">
    <cfRule type="notContainsBlanks" dxfId="13" priority="3" stopIfTrue="1">
      <formula>LEN(TRIM(G102))&gt;0</formula>
    </cfRule>
  </conditionalFormatting>
  <conditionalFormatting sqref="E103">
    <cfRule type="containsBlanks" dxfId="12" priority="2" stopIfTrue="1">
      <formula>LEN(TRIM(E103))=0</formula>
    </cfRule>
  </conditionalFormatting>
  <conditionalFormatting sqref="E103">
    <cfRule type="notContainsBlanks" dxfId="11" priority="1" stopIfTrue="1">
      <formula>LEN(TRIM(E103))&gt;0</formula>
    </cfRule>
  </conditionalFormatting>
  <dataValidations xWindow="395" yWindow="665" count="6">
    <dataValidation type="list" allowBlank="1" showInputMessage="1" showErrorMessage="1" promptTitle="Yes or No" prompt="Pick from list" sqref="J88 F19">
      <formula1>answer.list</formula1>
    </dataValidation>
    <dataValidation type="list" showInputMessage="1" showErrorMessage="1" promptTitle="Prover Material" prompt="Pick from list" sqref="C13:F13">
      <formula1>Material.list</formula1>
    </dataValidation>
    <dataValidation type="list" allowBlank="1" showInputMessage="1" showErrorMessage="1" promptTitle="Scale Grfaduation Unit" prompt="Pick from list" sqref="G12:I12">
      <formula1>Scale.list</formula1>
    </dataValidation>
    <dataValidation type="list" allowBlank="1" showInputMessage="1" showErrorMessage="1" promptTitle="Nominal Volume Unit" prompt="Pick List" sqref="G11:I11">
      <formula1>NomVal.list</formula1>
    </dataValidation>
    <dataValidation type="list" allowBlank="1" showInputMessage="1" showErrorMessage="1" promptTitle="Reference Temperature" prompt="Pick from list" sqref="A15">
      <formula1>RefTemp.list</formula1>
    </dataValidation>
    <dataValidation type="list" allowBlank="1" showInputMessage="1" showErrorMessage="1" sqref="E103:H103">
      <formula1>"gravity,the on board pump"</formula1>
    </dataValidation>
  </dataValidations>
  <printOptions horizontalCentered="1"/>
  <pageMargins left="0.5" right="0.5" top="1.25" bottom="0.5" header="0.75" footer="0.5"/>
  <pageSetup scale="91" orientation="portrait" horizontalDpi="300" verticalDpi="180" r:id="rId1"/>
  <headerFooter alignWithMargins="0">
    <oddHeader>&amp;L&amp;"Trebuchet MS,Regular"Calibration of LPG Provers&amp;R&amp;"Trebuchet MS,Regular"WAMRF-014, Rev. 21, 3/26/2010</oddHeader>
    <oddFooter>&amp;L&amp;"Trebuchet MS,Regular"&amp;F&amp;R&amp;"Trebuchet MS,Regular"&amp;A Worksheet Page &amp;P of &amp;N</oddFooter>
  </headerFooter>
  <rowBreaks count="1" manualBreakCount="1">
    <brk id="73" max="9" man="1"/>
  </rowBreaks>
</worksheet>
</file>

<file path=xl/worksheets/sheet7.xml><?xml version="1.0" encoding="utf-8"?>
<worksheet xmlns="http://schemas.openxmlformats.org/spreadsheetml/2006/main" xmlns:r="http://schemas.openxmlformats.org/officeDocument/2006/relationships">
  <sheetPr enableFormatConditionsCalculation="0">
    <tabColor indexed="57"/>
  </sheetPr>
  <dimension ref="A1:S118"/>
  <sheetViews>
    <sheetView showGridLines="0" zoomScaleNormal="100" workbookViewId="0"/>
  </sheetViews>
  <sheetFormatPr defaultColWidth="0" defaultRowHeight="12.75" zeroHeight="1"/>
  <cols>
    <col min="1" max="2" width="7.77734375" style="2" customWidth="1"/>
    <col min="3" max="3" width="6.77734375" style="2" customWidth="1"/>
    <col min="4" max="4" width="12.88671875" style="2" customWidth="1"/>
    <col min="5" max="5" width="10.77734375" style="2" customWidth="1"/>
    <col min="6" max="7" width="7.77734375" style="2" customWidth="1"/>
    <col min="8" max="8" width="6.77734375" style="2" customWidth="1"/>
    <col min="9" max="9" width="12.88671875" style="15" customWidth="1"/>
    <col min="10" max="10" width="10.77734375" style="15" customWidth="1"/>
    <col min="11" max="11" width="1.77734375" style="15" customWidth="1"/>
    <col min="12" max="13" width="0" style="15" hidden="1" customWidth="1"/>
    <col min="14" max="14" width="9.77734375" style="15" hidden="1" customWidth="1"/>
    <col min="15" max="15" width="13.77734375" style="15" hidden="1" customWidth="1"/>
    <col min="16" max="17" width="0" style="2" hidden="1" customWidth="1"/>
    <col min="18" max="18" width="15.5546875" style="2" hidden="1" customWidth="1"/>
    <col min="19" max="19" width="15.44140625" style="2" hidden="1" customWidth="1"/>
    <col min="20" max="16384" width="8.88671875" style="2" hidden="1"/>
  </cols>
  <sheetData>
    <row r="1" spans="1:15" customFormat="1" ht="19.5" thickBot="1">
      <c r="A1" s="90" t="s">
        <v>81</v>
      </c>
      <c r="B1" s="90"/>
      <c r="C1" s="90"/>
      <c r="D1" s="90"/>
      <c r="E1" s="90"/>
      <c r="F1" s="90"/>
      <c r="G1" s="90"/>
      <c r="H1" s="90"/>
      <c r="I1" s="91"/>
      <c r="J1" s="94" t="str">
        <f>IF(ISBLANK(RptNo),"","Report Number: "&amp;RptNo)</f>
        <v/>
      </c>
    </row>
    <row r="2" spans="1:15" s="12" customFormat="1" ht="12" customHeight="1">
      <c r="C2" s="10"/>
      <c r="D2" s="11"/>
      <c r="I2" s="16"/>
      <c r="J2" s="16"/>
      <c r="K2" s="16"/>
      <c r="L2" s="16"/>
      <c r="M2" s="16"/>
      <c r="N2" s="16"/>
      <c r="O2" s="16"/>
    </row>
    <row r="3" spans="1:15" s="12" customFormat="1" ht="18">
      <c r="A3" s="182" t="s">
        <v>82</v>
      </c>
      <c r="B3" s="182"/>
      <c r="C3" s="183"/>
      <c r="D3" s="184"/>
      <c r="E3" s="79"/>
      <c r="F3" s="185"/>
      <c r="G3" s="185"/>
      <c r="H3" s="79"/>
      <c r="I3" s="80"/>
      <c r="J3" s="80"/>
      <c r="K3" s="16"/>
      <c r="L3" s="16"/>
      <c r="M3" s="16"/>
      <c r="N3" s="16"/>
      <c r="O3" s="16"/>
    </row>
    <row r="4" spans="1:15" s="12" customFormat="1" ht="15.75" customHeight="1">
      <c r="A4" s="619" t="s">
        <v>83</v>
      </c>
      <c r="B4" s="620"/>
      <c r="C4" s="620"/>
      <c r="D4" s="620"/>
      <c r="E4" s="621"/>
      <c r="F4" s="620" t="s">
        <v>84</v>
      </c>
      <c r="G4" s="620"/>
      <c r="H4" s="620"/>
      <c r="I4" s="620"/>
      <c r="J4" s="621"/>
      <c r="K4" s="16"/>
      <c r="L4" s="16"/>
      <c r="M4" s="16"/>
      <c r="N4" s="16"/>
      <c r="O4" s="16"/>
    </row>
    <row r="5" spans="1:15" s="12" customFormat="1" ht="50.1" customHeight="1">
      <c r="A5" s="88" t="s">
        <v>20</v>
      </c>
      <c r="B5" s="282" t="str">
        <f>IF(RefTempUnit="Designated Reference Temperature For This Calibration (ºC)","Std. Ref. Temp. (trefS ºC)","Std. Ref. Temp. (trefS ºF)")</f>
        <v>Std. Ref. Temp. (trefS ºF)</v>
      </c>
      <c r="C5" s="86" t="str">
        <f>IF(RefTempUnit="Designated Reference Temperature For This Calibration (ºC)","Water Temp.
(ºC)","Water Temp.
(ºF)")</f>
        <v>Water Temp.
(ºF)</v>
      </c>
      <c r="D5" s="86" t="s">
        <v>85</v>
      </c>
      <c r="E5" s="87" t="str">
        <f>IF(NomValUnit="","Delivered
Volume",IF(NomValUnit="Nominal Volume (L)","Delivered
Volume
(L)","Delivered
Volume
(gal)"))</f>
        <v>Delivered
Volume
(gal)</v>
      </c>
      <c r="F5" s="88" t="s">
        <v>20</v>
      </c>
      <c r="G5" s="282" t="str">
        <f>IF(RefTempUnit="Designated Reference Temperature For This Calibration (ºC)","Std. Ref. Temp. (trefS ºC)","Std. Ref. Temp. (trefS ºF)")</f>
        <v>Std. Ref. Temp. (trefS ºF)</v>
      </c>
      <c r="H5" s="86" t="str">
        <f>IF(RefTempUnit="Designated Reference Temperature For This Calibration (ºC)","Water Temp.
(ºC)","Water Temp.
(ºF)")</f>
        <v>Water Temp.
(ºF)</v>
      </c>
      <c r="I5" s="86" t="s">
        <v>85</v>
      </c>
      <c r="J5" s="181" t="str">
        <f>IF(NomValUnit="","Delivered
Volume",IF(NomValUnit="Nominal Volume (L)","Delivered
Volume
(L)","Delivered
Volume
(gal)"))</f>
        <v>Delivered
Volume
(gal)</v>
      </c>
      <c r="K5" s="16"/>
      <c r="L5" s="16"/>
      <c r="M5" s="16"/>
      <c r="N5" s="16"/>
      <c r="O5" s="16"/>
    </row>
    <row r="6" spans="1:15" s="12" customFormat="1" ht="15.95" customHeight="1">
      <c r="A6" s="48">
        <v>1</v>
      </c>
      <c r="B6" s="285" t="str">
        <f>IF(ISBLANK('LPG Prover Data Entry'!B51),"",VLOOKUP('LPG Prover Data Entry'!B51,Standards.Table,6,FALSE))</f>
        <v/>
      </c>
      <c r="C6" s="285" t="str">
        <f>IF(ISBLANK('LPG Prover Data Entry'!B51),"",IF(RefTempUnit="Designated Reference Temperature For This Calibration (ºC)",'LPG Prover Data Entry'!D51+StdTempCorr,('LPG Prover Data Entry'!D51+StdTempCorr)*1.8+32))</f>
        <v/>
      </c>
      <c r="D6" s="283" t="str">
        <f>IF(ISBLANK('LPG Prover Data Entry'!B51),"",ROUND((999.97358*(1-(0.000000070134*(('LPG Prover Data Entry'!D51+StdTempCorr)-3.9818)+0.000007926504*(('LPG Prover Data Entry'!D51+StdTempCorr)-3.9818)^2+-0.00000007575677*(('LPG Prover Data Entry'!D51+StdTempCorr)-3.9818)^3+0.0000000007314894*(('LPG Prover Data Entry'!D51+StdTempCorr)-3.9818)^4+-0.000000000003596458*(('LPG Prover Data Entry'!D51+StdTempCorr)-3.9818)^5)))/1000,8))</f>
        <v/>
      </c>
      <c r="E6" s="284" t="str">
        <f>IF(ISBLANK('LPG Prover Data Entry'!B51),"",IF(NomValUnit="Nominal Volume (L)",D6*(('LPG Prover Data Entry'!C51+('LPG Prover Data Entry'!E51/1000))*(1+(VLOOKUP('LPG Prover Data Entry'!B51,Standards.Table,8))*(Calculations!C6-B6))),D6*(('LPG Prover Data Entry'!C51+('LPG Prover Data Entry'!E51/231))*(1+(VLOOKUP('LPG Prover Data Entry'!B51,Standards.Table,8))*(Calculations!C6-B6)))))</f>
        <v/>
      </c>
      <c r="F6" s="48">
        <v>1</v>
      </c>
      <c r="G6" s="285" t="str">
        <f>IF(ISBLANK('LPG Prover Data Entry'!G51),"",VLOOKUP('LPG Prover Data Entry'!G51,Standards.Table,6,FALSE))</f>
        <v/>
      </c>
      <c r="H6" s="285" t="str">
        <f>IF(ISBLANK('LPG Prover Data Entry'!G51),"",IF(RefTempUnit="Designated Reference Temperature For This Calibration (ºC)",'LPG Prover Data Entry'!I51+StdTempCorr,('LPG Prover Data Entry'!I51+StdTempCorr)*1.8+32))</f>
        <v/>
      </c>
      <c r="I6" s="283" t="str">
        <f>IF(ISBLANK('LPG Prover Data Entry'!G51),"",ROUND((999.97358*(1-(0.000000070134*(('LPG Prover Data Entry'!I51+StdTempCorr)-3.9818)+0.000007926504*(('LPG Prover Data Entry'!I51+StdTempCorr)-3.9818)^2+-0.00000007575677*(('LPG Prover Data Entry'!I51+StdTempCorr)-3.9818)^3+0.0000000007314894*(('LPG Prover Data Entry'!I51+StdTempCorr)-3.9818)^4+-0.000000000003596458*(('LPG Prover Data Entry'!I51+StdTempCorr)-3.9818)^5)))/1000,8))</f>
        <v/>
      </c>
      <c r="J6" s="286" t="str">
        <f>IF(ISBLANK('LPG Prover Data Entry'!G51),"",IF(NomValUnit="Nominal Volume (L)",I6*(('LPG Prover Data Entry'!H51+('LPG Prover Data Entry'!J51/1000))*(1+(VLOOKUP('LPG Prover Data Entry'!G51,Standards.Table,8))*(Calculations!H6-G6))),I6*(('LPG Prover Data Entry'!H51+('LPG Prover Data Entry'!J51/231))*(1+(VLOOKUP('LPG Prover Data Entry'!G51,Standards.Table,8))*(Calculations!H6-G6)))))</f>
        <v/>
      </c>
      <c r="K6" s="16"/>
      <c r="L6" s="16"/>
      <c r="M6" s="16"/>
      <c r="N6" s="16"/>
      <c r="O6" s="16"/>
    </row>
    <row r="7" spans="1:15" s="12" customFormat="1" ht="15.95" customHeight="1">
      <c r="A7" s="48">
        <v>2</v>
      </c>
      <c r="B7" s="285" t="str">
        <f>IF(ISBLANK('LPG Prover Data Entry'!B52),"",VLOOKUP('LPG Prover Data Entry'!B52,Standards.Table,6,FALSE))</f>
        <v/>
      </c>
      <c r="C7" s="285" t="str">
        <f>IF(ISBLANK('LPG Prover Data Entry'!B52),"",IF(RefTempUnit="Designated Reference Temperature For This Calibration (ºC)",'LPG Prover Data Entry'!D52+StdTempCorr,('LPG Prover Data Entry'!D52+StdTempCorr)*1.8+32))</f>
        <v/>
      </c>
      <c r="D7" s="283" t="str">
        <f>IF(ISBLANK('LPG Prover Data Entry'!B52),"",ROUND((999.97358*(1-(0.000000070134*(('LPG Prover Data Entry'!D52+StdTempCorr)-3.9818)+0.000007926504*(('LPG Prover Data Entry'!D52+StdTempCorr)-3.9818)^2+-0.00000007575677*(('LPG Prover Data Entry'!D52+StdTempCorr)-3.9818)^3+0.0000000007314894*(('LPG Prover Data Entry'!D52+StdTempCorr)-3.9818)^4+-0.000000000003596458*(('LPG Prover Data Entry'!D52+StdTempCorr)-3.9818)^5)))/1000,8))</f>
        <v/>
      </c>
      <c r="E7" s="284" t="str">
        <f>IF(ISBLANK('LPG Prover Data Entry'!B52),"",IF(NomValUnit="Nominal Volume (L)",D7*(('LPG Prover Data Entry'!C52+('LPG Prover Data Entry'!E52/1000))*(1+(VLOOKUP('LPG Prover Data Entry'!B52,Standards.Table,8))*(Calculations!C7-B7))),D7*(('LPG Prover Data Entry'!C52+('LPG Prover Data Entry'!E52/231))*(1+(VLOOKUP('LPG Prover Data Entry'!B52,Standards.Table,8))*(Calculations!C7-B7)))))</f>
        <v/>
      </c>
      <c r="F7" s="48">
        <v>2</v>
      </c>
      <c r="G7" s="285" t="str">
        <f>IF(ISBLANK('LPG Prover Data Entry'!G52),"",VLOOKUP('LPG Prover Data Entry'!G52,Standards.Table,6,FALSE))</f>
        <v/>
      </c>
      <c r="H7" s="285" t="str">
        <f>IF(ISBLANK('LPG Prover Data Entry'!G52),"",IF(RefTempUnit="Designated Reference Temperature For This Calibration (ºC)",'LPG Prover Data Entry'!I52+StdTempCorr,('LPG Prover Data Entry'!I52+StdTempCorr)*1.8+32))</f>
        <v/>
      </c>
      <c r="I7" s="283" t="str">
        <f>IF(ISBLANK('LPG Prover Data Entry'!G52),"",ROUND((999.97358*(1-(0.000000070134*(('LPG Prover Data Entry'!I52+StdTempCorr)-3.9818)+0.000007926504*(('LPG Prover Data Entry'!I52+StdTempCorr)-3.9818)^2+-0.00000007575677*(('LPG Prover Data Entry'!I52+StdTempCorr)-3.9818)^3+0.0000000007314894*(('LPG Prover Data Entry'!I52+StdTempCorr)-3.9818)^4+-0.000000000003596458*(('LPG Prover Data Entry'!I52+StdTempCorr)-3.9818)^5)))/1000,8))</f>
        <v/>
      </c>
      <c r="J7" s="286" t="str">
        <f>IF(ISBLANK('LPG Prover Data Entry'!G52),"",IF(NomValUnit="Nominal Volume (L)",I7*(('LPG Prover Data Entry'!H52+('LPG Prover Data Entry'!J52/1000))*(1+(VLOOKUP('LPG Prover Data Entry'!G52,Standards.Table,8))*(Calculations!H7-G7))),I7*(('LPG Prover Data Entry'!H52+('LPG Prover Data Entry'!J52/231))*(1+(VLOOKUP('LPG Prover Data Entry'!G52,Standards.Table,8))*(Calculations!H7-G7)))))</f>
        <v/>
      </c>
      <c r="K7" s="16"/>
      <c r="L7" s="16"/>
      <c r="M7" s="16"/>
      <c r="N7" s="16"/>
      <c r="O7" s="16"/>
    </row>
    <row r="8" spans="1:15" s="12" customFormat="1" ht="15.95" customHeight="1">
      <c r="A8" s="48">
        <v>3</v>
      </c>
      <c r="B8" s="285" t="str">
        <f>IF(ISBLANK('LPG Prover Data Entry'!B53),"",VLOOKUP('LPG Prover Data Entry'!B53,Standards.Table,6,FALSE))</f>
        <v/>
      </c>
      <c r="C8" s="285" t="str">
        <f>IF(ISBLANK('LPG Prover Data Entry'!B53),"",IF(RefTempUnit="Designated Reference Temperature For This Calibration (ºC)",'LPG Prover Data Entry'!D53+StdTempCorr,('LPG Prover Data Entry'!D53+StdTempCorr)*1.8+32))</f>
        <v/>
      </c>
      <c r="D8" s="283" t="str">
        <f>IF(ISBLANK('LPG Prover Data Entry'!B53),"",ROUND((999.97358*(1-(0.000000070134*(('LPG Prover Data Entry'!D53+StdTempCorr)-3.9818)+0.000007926504*(('LPG Prover Data Entry'!D53+StdTempCorr)-3.9818)^2+-0.00000007575677*(('LPG Prover Data Entry'!D53+StdTempCorr)-3.9818)^3+0.0000000007314894*(('LPG Prover Data Entry'!D53+StdTempCorr)-3.9818)^4+-0.000000000003596458*(('LPG Prover Data Entry'!D53+StdTempCorr)-3.9818)^5)))/1000,8))</f>
        <v/>
      </c>
      <c r="E8" s="284" t="str">
        <f>IF(ISBLANK('LPG Prover Data Entry'!B53),"",IF(NomValUnit="Nominal Volume (L)",D8*(('LPG Prover Data Entry'!C53+('LPG Prover Data Entry'!E53/1000))*(1+(VLOOKUP('LPG Prover Data Entry'!B53,Standards.Table,8))*(Calculations!C8-B8))),D8*(('LPG Prover Data Entry'!C53+('LPG Prover Data Entry'!E53/231))*(1+(VLOOKUP('LPG Prover Data Entry'!B53,Standards.Table,8))*(Calculations!C8-B8)))))</f>
        <v/>
      </c>
      <c r="F8" s="48">
        <v>3</v>
      </c>
      <c r="G8" s="285" t="str">
        <f>IF(ISBLANK('LPG Prover Data Entry'!G53),"",VLOOKUP('LPG Prover Data Entry'!G53,Standards.Table,6,FALSE))</f>
        <v/>
      </c>
      <c r="H8" s="285" t="str">
        <f>IF(ISBLANK('LPG Prover Data Entry'!G53),"",IF(RefTempUnit="Designated Reference Temperature For This Calibration (ºC)",'LPG Prover Data Entry'!I53+StdTempCorr,('LPG Prover Data Entry'!I53+StdTempCorr)*1.8+32))</f>
        <v/>
      </c>
      <c r="I8" s="283" t="str">
        <f>IF(ISBLANK('LPG Prover Data Entry'!G53),"",ROUND((999.97358*(1-(0.000000070134*(('LPG Prover Data Entry'!I53+StdTempCorr)-3.9818)+0.000007926504*(('LPG Prover Data Entry'!I53+StdTempCorr)-3.9818)^2+-0.00000007575677*(('LPG Prover Data Entry'!I53+StdTempCorr)-3.9818)^3+0.0000000007314894*(('LPG Prover Data Entry'!I53+StdTempCorr)-3.9818)^4+-0.000000000003596458*(('LPG Prover Data Entry'!I53+StdTempCorr)-3.9818)^5)))/1000,8))</f>
        <v/>
      </c>
      <c r="J8" s="286" t="str">
        <f>IF(ISBLANK('LPG Prover Data Entry'!G53),"",IF(NomValUnit="Nominal Volume (L)",I8*(('LPG Prover Data Entry'!H53+('LPG Prover Data Entry'!J53/1000))*(1+(VLOOKUP('LPG Prover Data Entry'!G53,Standards.Table,8))*(Calculations!H8-G8))),I8*(('LPG Prover Data Entry'!H53+('LPG Prover Data Entry'!J53/231))*(1+(VLOOKUP('LPG Prover Data Entry'!G53,Standards.Table,8))*(Calculations!H8-G8)))))</f>
        <v/>
      </c>
      <c r="K8" s="16"/>
      <c r="L8" s="16"/>
      <c r="M8" s="16"/>
      <c r="N8" s="16"/>
      <c r="O8" s="16"/>
    </row>
    <row r="9" spans="1:15" s="12" customFormat="1" ht="15.95" customHeight="1">
      <c r="A9" s="48">
        <v>4</v>
      </c>
      <c r="B9" s="285" t="str">
        <f>IF(ISBLANK('LPG Prover Data Entry'!B54),"",VLOOKUP('LPG Prover Data Entry'!B54,Standards.Table,6,FALSE))</f>
        <v/>
      </c>
      <c r="C9" s="285" t="str">
        <f>IF(ISBLANK('LPG Prover Data Entry'!B54),"",IF(RefTempUnit="Designated Reference Temperature For This Calibration (ºC)",'LPG Prover Data Entry'!D54+StdTempCorr,('LPG Prover Data Entry'!D54+StdTempCorr)*1.8+32))</f>
        <v/>
      </c>
      <c r="D9" s="283" t="str">
        <f>IF(ISBLANK('LPG Prover Data Entry'!B54),"",ROUND((999.97358*(1-(0.000000070134*(('LPG Prover Data Entry'!D54+StdTempCorr)-3.9818)+0.000007926504*(('LPG Prover Data Entry'!D54+StdTempCorr)-3.9818)^2+-0.00000007575677*(('LPG Prover Data Entry'!D54+StdTempCorr)-3.9818)^3+0.0000000007314894*(('LPG Prover Data Entry'!D54+StdTempCorr)-3.9818)^4+-0.000000000003596458*(('LPG Prover Data Entry'!D54+StdTempCorr)-3.9818)^5)))/1000,8))</f>
        <v/>
      </c>
      <c r="E9" s="284" t="str">
        <f>IF(ISBLANK('LPG Prover Data Entry'!B54),"",IF(NomValUnit="Nominal Volume (L)",D9*(('LPG Prover Data Entry'!C54+('LPG Prover Data Entry'!E54/1000))*(1+(VLOOKUP('LPG Prover Data Entry'!B54,Standards.Table,8))*(Calculations!C9-B9))),D9*(('LPG Prover Data Entry'!C54+('LPG Prover Data Entry'!E54/231))*(1+(VLOOKUP('LPG Prover Data Entry'!B54,Standards.Table,8))*(Calculations!C9-B9)))))</f>
        <v/>
      </c>
      <c r="F9" s="48">
        <v>4</v>
      </c>
      <c r="G9" s="285" t="str">
        <f>IF(ISBLANK('LPG Prover Data Entry'!G54),"",VLOOKUP('LPG Prover Data Entry'!G54,Standards.Table,6,FALSE))</f>
        <v/>
      </c>
      <c r="H9" s="285" t="str">
        <f>IF(ISBLANK('LPG Prover Data Entry'!G54),"",IF(RefTempUnit="Designated Reference Temperature For This Calibration (ºC)",'LPG Prover Data Entry'!I54+StdTempCorr,('LPG Prover Data Entry'!I54+StdTempCorr)*1.8+32))</f>
        <v/>
      </c>
      <c r="I9" s="283" t="str">
        <f>IF(ISBLANK('LPG Prover Data Entry'!G54),"",ROUND((999.97358*(1-(0.000000070134*(('LPG Prover Data Entry'!I54+StdTempCorr)-3.9818)+0.000007926504*(('LPG Prover Data Entry'!I54+StdTempCorr)-3.9818)^2+-0.00000007575677*(('LPG Prover Data Entry'!I54+StdTempCorr)-3.9818)^3+0.0000000007314894*(('LPG Prover Data Entry'!I54+StdTempCorr)-3.9818)^4+-0.000000000003596458*(('LPG Prover Data Entry'!I54+StdTempCorr)-3.9818)^5)))/1000,8))</f>
        <v/>
      </c>
      <c r="J9" s="286" t="str">
        <f>IF(ISBLANK('LPG Prover Data Entry'!G54),"",IF(NomValUnit="Nominal Volume (L)",I9*(('LPG Prover Data Entry'!H54+('LPG Prover Data Entry'!J54/1000))*(1+(VLOOKUP('LPG Prover Data Entry'!G54,Standards.Table,8))*(Calculations!H9-G9))),I9*(('LPG Prover Data Entry'!H54+('LPG Prover Data Entry'!J54/231))*(1+(VLOOKUP('LPG Prover Data Entry'!G54,Standards.Table,8))*(Calculations!H9-G9)))))</f>
        <v/>
      </c>
      <c r="K9" s="16"/>
      <c r="L9" s="16"/>
      <c r="M9" s="16"/>
      <c r="N9" s="16"/>
      <c r="O9" s="16"/>
    </row>
    <row r="10" spans="1:15" s="12" customFormat="1" ht="15.95" customHeight="1">
      <c r="A10" s="48">
        <v>5</v>
      </c>
      <c r="B10" s="285" t="str">
        <f>IF(ISBLANK('LPG Prover Data Entry'!B55),"",VLOOKUP('LPG Prover Data Entry'!B55,Standards.Table,6,FALSE))</f>
        <v/>
      </c>
      <c r="C10" s="285" t="str">
        <f>IF(ISBLANK('LPG Prover Data Entry'!B55),"",IF(RefTempUnit="Designated Reference Temperature For This Calibration (ºC)",'LPG Prover Data Entry'!D55+StdTempCorr,('LPG Prover Data Entry'!D55+StdTempCorr)*1.8+32))</f>
        <v/>
      </c>
      <c r="D10" s="283" t="str">
        <f>IF(ISBLANK('LPG Prover Data Entry'!B55),"",ROUND((999.97358*(1-(0.000000070134*(('LPG Prover Data Entry'!D55+StdTempCorr)-3.9818)+0.000007926504*(('LPG Prover Data Entry'!D55+StdTempCorr)-3.9818)^2+-0.00000007575677*(('LPG Prover Data Entry'!D55+StdTempCorr)-3.9818)^3+0.0000000007314894*(('LPG Prover Data Entry'!D55+StdTempCorr)-3.9818)^4+-0.000000000003596458*(('LPG Prover Data Entry'!D55+StdTempCorr)-3.9818)^5)))/1000,8))</f>
        <v/>
      </c>
      <c r="E10" s="284" t="str">
        <f>IF(ISBLANK('LPG Prover Data Entry'!B55),"",IF(NomValUnit="Nominal Volume (L)",D10*(('LPG Prover Data Entry'!C55+('LPG Prover Data Entry'!E55/1000))*(1+(VLOOKUP('LPG Prover Data Entry'!B55,Standards.Table,8))*(Calculations!C10-B10))),D10*(('LPG Prover Data Entry'!C55+('LPG Prover Data Entry'!E55/231))*(1+(VLOOKUP('LPG Prover Data Entry'!B55,Standards.Table,8))*(Calculations!C10-B10)))))</f>
        <v/>
      </c>
      <c r="F10" s="48">
        <v>5</v>
      </c>
      <c r="G10" s="285" t="str">
        <f>IF(ISBLANK('LPG Prover Data Entry'!G55),"",VLOOKUP('LPG Prover Data Entry'!G55,Standards.Table,6,FALSE))</f>
        <v/>
      </c>
      <c r="H10" s="285" t="str">
        <f>IF(ISBLANK('LPG Prover Data Entry'!G55),"",IF(RefTempUnit="Designated Reference Temperature For This Calibration (ºC)",'LPG Prover Data Entry'!I55+StdTempCorr,('LPG Prover Data Entry'!I55+StdTempCorr)*1.8+32))</f>
        <v/>
      </c>
      <c r="I10" s="283" t="str">
        <f>IF(ISBLANK('LPG Prover Data Entry'!G55),"",ROUND((999.97358*(1-(0.000000070134*(('LPG Prover Data Entry'!I55+StdTempCorr)-3.9818)+0.000007926504*(('LPG Prover Data Entry'!I55+StdTempCorr)-3.9818)^2+-0.00000007575677*(('LPG Prover Data Entry'!I55+StdTempCorr)-3.9818)^3+0.0000000007314894*(('LPG Prover Data Entry'!I55+StdTempCorr)-3.9818)^4+-0.000000000003596458*(('LPG Prover Data Entry'!I55+StdTempCorr)-3.9818)^5)))/1000,8))</f>
        <v/>
      </c>
      <c r="J10" s="286" t="str">
        <f>IF(ISBLANK('LPG Prover Data Entry'!G55),"",IF(NomValUnit="Nominal Volume (L)",I10*(('LPG Prover Data Entry'!H55+('LPG Prover Data Entry'!J55/1000))*(1+(VLOOKUP('LPG Prover Data Entry'!G55,Standards.Table,8))*(Calculations!H10-G10))),I10*(('LPG Prover Data Entry'!H55+('LPG Prover Data Entry'!J55/231))*(1+(VLOOKUP('LPG Prover Data Entry'!G55,Standards.Table,8))*(Calculations!H10-G10)))))</f>
        <v/>
      </c>
      <c r="K10" s="16"/>
      <c r="L10" s="16"/>
      <c r="M10" s="16"/>
      <c r="N10" s="16"/>
      <c r="O10" s="16"/>
    </row>
    <row r="11" spans="1:15" s="12" customFormat="1" ht="15.95" customHeight="1">
      <c r="A11" s="48">
        <v>6</v>
      </c>
      <c r="B11" s="285" t="str">
        <f>IF(ISBLANK('LPG Prover Data Entry'!B56),"",VLOOKUP('LPG Prover Data Entry'!B56,Standards.Table,6,FALSE))</f>
        <v/>
      </c>
      <c r="C11" s="285" t="str">
        <f>IF(ISBLANK('LPG Prover Data Entry'!B56),"",IF(RefTempUnit="Designated Reference Temperature For This Calibration (ºC)",'LPG Prover Data Entry'!D56+StdTempCorr,('LPG Prover Data Entry'!D56+StdTempCorr)*1.8+32))</f>
        <v/>
      </c>
      <c r="D11" s="283" t="str">
        <f>IF(ISBLANK('LPG Prover Data Entry'!B56),"",ROUND((999.97358*(1-(0.000000070134*(('LPG Prover Data Entry'!D56+StdTempCorr)-3.9818)+0.000007926504*(('LPG Prover Data Entry'!D56+StdTempCorr)-3.9818)^2+-0.00000007575677*(('LPG Prover Data Entry'!D56+StdTempCorr)-3.9818)^3+0.0000000007314894*(('LPG Prover Data Entry'!D56+StdTempCorr)-3.9818)^4+-0.000000000003596458*(('LPG Prover Data Entry'!D56+StdTempCorr)-3.9818)^5)))/1000,8))</f>
        <v/>
      </c>
      <c r="E11" s="284" t="str">
        <f>IF(ISBLANK('LPG Prover Data Entry'!B56),"",IF(NomValUnit="Nominal Volume (L)",D11*(('LPG Prover Data Entry'!C56+('LPG Prover Data Entry'!E56/1000))*(1+(VLOOKUP('LPG Prover Data Entry'!B56,Standards.Table,8))*(Calculations!C11-B11))),D11*(('LPG Prover Data Entry'!C56+('LPG Prover Data Entry'!E56/231))*(1+(VLOOKUP('LPG Prover Data Entry'!B56,Standards.Table,8))*(Calculations!C11-B11)))))</f>
        <v/>
      </c>
      <c r="F11" s="48">
        <v>6</v>
      </c>
      <c r="G11" s="285" t="str">
        <f>IF(ISBLANK('LPG Prover Data Entry'!G56),"",VLOOKUP('LPG Prover Data Entry'!G56,Standards.Table,6,FALSE))</f>
        <v/>
      </c>
      <c r="H11" s="285" t="str">
        <f>IF(ISBLANK('LPG Prover Data Entry'!G56),"",IF(RefTempUnit="Designated Reference Temperature For This Calibration (ºC)",'LPG Prover Data Entry'!I56+StdTempCorr,('LPG Prover Data Entry'!I56+StdTempCorr)*1.8+32))</f>
        <v/>
      </c>
      <c r="I11" s="283" t="str">
        <f>IF(ISBLANK('LPG Prover Data Entry'!G56),"",ROUND((999.97358*(1-(0.000000070134*(('LPG Prover Data Entry'!I56+StdTempCorr)-3.9818)+0.000007926504*(('LPG Prover Data Entry'!I56+StdTempCorr)-3.9818)^2+-0.00000007575677*(('LPG Prover Data Entry'!I56+StdTempCorr)-3.9818)^3+0.0000000007314894*(('LPG Prover Data Entry'!I56+StdTempCorr)-3.9818)^4+-0.000000000003596458*(('LPG Prover Data Entry'!I56+StdTempCorr)-3.9818)^5)))/1000,8))</f>
        <v/>
      </c>
      <c r="J11" s="286" t="str">
        <f>IF(ISBLANK('LPG Prover Data Entry'!G56),"",IF(NomValUnit="Nominal Volume (L)",I11*(('LPG Prover Data Entry'!H56+('LPG Prover Data Entry'!J56/1000))*(1+(VLOOKUP('LPG Prover Data Entry'!G56,Standards.Table,8))*(Calculations!H11-G11))),I11*(('LPG Prover Data Entry'!H56+('LPG Prover Data Entry'!J56/231))*(1+(VLOOKUP('LPG Prover Data Entry'!G56,Standards.Table,8))*(Calculations!H11-G11)))))</f>
        <v/>
      </c>
      <c r="K11" s="16"/>
      <c r="L11" s="16"/>
      <c r="M11" s="16"/>
      <c r="N11" s="16"/>
      <c r="O11" s="16"/>
    </row>
    <row r="12" spans="1:15" s="12" customFormat="1" ht="15.95" customHeight="1">
      <c r="A12" s="48">
        <v>7</v>
      </c>
      <c r="B12" s="285" t="str">
        <f>IF(ISBLANK('LPG Prover Data Entry'!B57),"",VLOOKUP('LPG Prover Data Entry'!B57,Standards.Table,6,FALSE))</f>
        <v/>
      </c>
      <c r="C12" s="285" t="str">
        <f>IF(ISBLANK('LPG Prover Data Entry'!B57),"",IF(RefTempUnit="Designated Reference Temperature For This Calibration (ºC)",'LPG Prover Data Entry'!D57+StdTempCorr,('LPG Prover Data Entry'!D57+StdTempCorr)*1.8+32))</f>
        <v/>
      </c>
      <c r="D12" s="283" t="str">
        <f>IF(ISBLANK('LPG Prover Data Entry'!B57),"",ROUND((999.97358*(1-(0.000000070134*(('LPG Prover Data Entry'!D57+StdTempCorr)-3.9818)+0.000007926504*(('LPG Prover Data Entry'!D57+StdTempCorr)-3.9818)^2+-0.00000007575677*(('LPG Prover Data Entry'!D57+StdTempCorr)-3.9818)^3+0.0000000007314894*(('LPG Prover Data Entry'!D57+StdTempCorr)-3.9818)^4+-0.000000000003596458*(('LPG Prover Data Entry'!D57+StdTempCorr)-3.9818)^5)))/1000,8))</f>
        <v/>
      </c>
      <c r="E12" s="284" t="str">
        <f>IF(ISBLANK('LPG Prover Data Entry'!B57),"",IF(NomValUnit="Nominal Volume (L)",D12*(('LPG Prover Data Entry'!C57+('LPG Prover Data Entry'!E57/1000))*(1+(VLOOKUP('LPG Prover Data Entry'!B57,Standards.Table,8))*(Calculations!C12-B12))),D12*(('LPG Prover Data Entry'!C57+('LPG Prover Data Entry'!E57/231))*(1+(VLOOKUP('LPG Prover Data Entry'!B57,Standards.Table,8))*(Calculations!C12-B12)))))</f>
        <v/>
      </c>
      <c r="F12" s="48">
        <v>7</v>
      </c>
      <c r="G12" s="285" t="str">
        <f>IF(ISBLANK('LPG Prover Data Entry'!G57),"",VLOOKUP('LPG Prover Data Entry'!G57,Standards.Table,6,FALSE))</f>
        <v/>
      </c>
      <c r="H12" s="285" t="str">
        <f>IF(ISBLANK('LPG Prover Data Entry'!G57),"",IF(RefTempUnit="Designated Reference Temperature For This Calibration (ºC)",'LPG Prover Data Entry'!I57+StdTempCorr,('LPG Prover Data Entry'!I57+StdTempCorr)*1.8+32))</f>
        <v/>
      </c>
      <c r="I12" s="283" t="str">
        <f>IF(ISBLANK('LPG Prover Data Entry'!G57),"",ROUND((999.97358*(1-(0.000000070134*(('LPG Prover Data Entry'!I57+StdTempCorr)-3.9818)+0.000007926504*(('LPG Prover Data Entry'!I57+StdTempCorr)-3.9818)^2+-0.00000007575677*(('LPG Prover Data Entry'!I57+StdTempCorr)-3.9818)^3+0.0000000007314894*(('LPG Prover Data Entry'!I57+StdTempCorr)-3.9818)^4+-0.000000000003596458*(('LPG Prover Data Entry'!I57+StdTempCorr)-3.9818)^5)))/1000,8))</f>
        <v/>
      </c>
      <c r="J12" s="286" t="str">
        <f>IF(ISBLANK('LPG Prover Data Entry'!G57),"",IF(NomValUnit="Nominal Volume (L)",I12*(('LPG Prover Data Entry'!H57+('LPG Prover Data Entry'!J57/1000))*(1+(VLOOKUP('LPG Prover Data Entry'!G57,Standards.Table,8))*(Calculations!H12-G12))),I12*(('LPG Prover Data Entry'!H57+('LPG Prover Data Entry'!J57/231))*(1+(VLOOKUP('LPG Prover Data Entry'!G57,Standards.Table,8))*(Calculations!H12-G12)))))</f>
        <v/>
      </c>
      <c r="K12" s="16"/>
      <c r="L12" s="16"/>
      <c r="M12" s="16"/>
      <c r="N12" s="16"/>
      <c r="O12" s="16"/>
    </row>
    <row r="13" spans="1:15" s="12" customFormat="1" ht="15.95" customHeight="1">
      <c r="A13" s="48">
        <v>8</v>
      </c>
      <c r="B13" s="285" t="str">
        <f>IF(ISBLANK('LPG Prover Data Entry'!B58),"",VLOOKUP('LPG Prover Data Entry'!B58,Standards.Table,6,FALSE))</f>
        <v/>
      </c>
      <c r="C13" s="285" t="str">
        <f>IF(ISBLANK('LPG Prover Data Entry'!B58),"",IF(RefTempUnit="Designated Reference Temperature For This Calibration (ºC)",'LPG Prover Data Entry'!D58+StdTempCorr,('LPG Prover Data Entry'!D58+StdTempCorr)*1.8+32))</f>
        <v/>
      </c>
      <c r="D13" s="283" t="str">
        <f>IF(ISBLANK('LPG Prover Data Entry'!B58),"",ROUND((999.97358*(1-(0.000000070134*(('LPG Prover Data Entry'!D58+StdTempCorr)-3.9818)+0.000007926504*(('LPG Prover Data Entry'!D58+StdTempCorr)-3.9818)^2+-0.00000007575677*(('LPG Prover Data Entry'!D58+StdTempCorr)-3.9818)^3+0.0000000007314894*(('LPG Prover Data Entry'!D58+StdTempCorr)-3.9818)^4+-0.000000000003596458*(('LPG Prover Data Entry'!D58+StdTempCorr)-3.9818)^5)))/1000,8))</f>
        <v/>
      </c>
      <c r="E13" s="284" t="str">
        <f>IF(ISBLANK('LPG Prover Data Entry'!B58),"",IF(NomValUnit="Nominal Volume (L)",D13*(('LPG Prover Data Entry'!C58+('LPG Prover Data Entry'!E58/1000))*(1+(VLOOKUP('LPG Prover Data Entry'!B58,Standards.Table,8))*(Calculations!C13-B13))),D13*(('LPG Prover Data Entry'!C58+('LPG Prover Data Entry'!E58/231))*(1+(VLOOKUP('LPG Prover Data Entry'!B58,Standards.Table,8))*(Calculations!C13-B13)))))</f>
        <v/>
      </c>
      <c r="F13" s="48">
        <v>8</v>
      </c>
      <c r="G13" s="285" t="str">
        <f>IF(ISBLANK('LPG Prover Data Entry'!G58),"",VLOOKUP('LPG Prover Data Entry'!G58,Standards.Table,6,FALSE))</f>
        <v/>
      </c>
      <c r="H13" s="285" t="str">
        <f>IF(ISBLANK('LPG Prover Data Entry'!G58),"",IF(RefTempUnit="Designated Reference Temperature For This Calibration (ºC)",'LPG Prover Data Entry'!I58+StdTempCorr,('LPG Prover Data Entry'!I58+StdTempCorr)*1.8+32))</f>
        <v/>
      </c>
      <c r="I13" s="283" t="str">
        <f>IF(ISBLANK('LPG Prover Data Entry'!G58),"",ROUND((999.97358*(1-(0.000000070134*(('LPG Prover Data Entry'!I58+StdTempCorr)-3.9818)+0.000007926504*(('LPG Prover Data Entry'!I58+StdTempCorr)-3.9818)^2+-0.00000007575677*(('LPG Prover Data Entry'!I58+StdTempCorr)-3.9818)^3+0.0000000007314894*(('LPG Prover Data Entry'!I58+StdTempCorr)-3.9818)^4+-0.000000000003596458*(('LPG Prover Data Entry'!I58+StdTempCorr)-3.9818)^5)))/1000,8))</f>
        <v/>
      </c>
      <c r="J13" s="286" t="str">
        <f>IF(ISBLANK('LPG Prover Data Entry'!G58),"",IF(NomValUnit="Nominal Volume (L)",I13*(('LPG Prover Data Entry'!H58+('LPG Prover Data Entry'!J58/1000))*(1+(VLOOKUP('LPG Prover Data Entry'!G58,Standards.Table,8))*(Calculations!H13-G13))),I13*(('LPG Prover Data Entry'!H58+('LPG Prover Data Entry'!J58/231))*(1+(VLOOKUP('LPG Prover Data Entry'!G58,Standards.Table,8))*(Calculations!H13-G13)))))</f>
        <v/>
      </c>
      <c r="K13" s="16"/>
      <c r="L13" s="16"/>
      <c r="M13" s="16"/>
      <c r="N13" s="16"/>
      <c r="O13" s="16"/>
    </row>
    <row r="14" spans="1:15" s="12" customFormat="1" ht="15.95" customHeight="1">
      <c r="A14" s="48">
        <v>9</v>
      </c>
      <c r="B14" s="285" t="str">
        <f>IF(ISBLANK('LPG Prover Data Entry'!B59),"",VLOOKUP('LPG Prover Data Entry'!B59,Standards.Table,6,FALSE))</f>
        <v/>
      </c>
      <c r="C14" s="285" t="str">
        <f>IF(ISBLANK('LPG Prover Data Entry'!B59),"",IF(RefTempUnit="Designated Reference Temperature For This Calibration (ºC)",'LPG Prover Data Entry'!D59+StdTempCorr,('LPG Prover Data Entry'!D59+StdTempCorr)*1.8+32))</f>
        <v/>
      </c>
      <c r="D14" s="283" t="str">
        <f>IF(ISBLANK('LPG Prover Data Entry'!B59),"",ROUND((999.97358*(1-(0.000000070134*(('LPG Prover Data Entry'!D59+StdTempCorr)-3.9818)+0.000007926504*(('LPG Prover Data Entry'!D59+StdTempCorr)-3.9818)^2+-0.00000007575677*(('LPG Prover Data Entry'!D59+StdTempCorr)-3.9818)^3+0.0000000007314894*(('LPG Prover Data Entry'!D59+StdTempCorr)-3.9818)^4+-0.000000000003596458*(('LPG Prover Data Entry'!D59+StdTempCorr)-3.9818)^5)))/1000,8))</f>
        <v/>
      </c>
      <c r="E14" s="284" t="str">
        <f>IF(ISBLANK('LPG Prover Data Entry'!B59),"",IF(NomValUnit="Nominal Volume (L)",D14*(('LPG Prover Data Entry'!C59+('LPG Prover Data Entry'!E59/1000))*(1+(VLOOKUP('LPG Prover Data Entry'!B59,Standards.Table,8))*(Calculations!C14-B14))),D14*(('LPG Prover Data Entry'!C59+('LPG Prover Data Entry'!E59/231))*(1+(VLOOKUP('LPG Prover Data Entry'!B59,Standards.Table,8))*(Calculations!C14-B14)))))</f>
        <v/>
      </c>
      <c r="F14" s="48">
        <v>9</v>
      </c>
      <c r="G14" s="285" t="str">
        <f>IF(ISBLANK('LPG Prover Data Entry'!G59),"",VLOOKUP('LPG Prover Data Entry'!G59,Standards.Table,6,FALSE))</f>
        <v/>
      </c>
      <c r="H14" s="285" t="str">
        <f>IF(ISBLANK('LPG Prover Data Entry'!G59),"",IF(RefTempUnit="Designated Reference Temperature For This Calibration (ºC)",'LPG Prover Data Entry'!I59+StdTempCorr,('LPG Prover Data Entry'!I59+StdTempCorr)*1.8+32))</f>
        <v/>
      </c>
      <c r="I14" s="283" t="str">
        <f>IF(ISBLANK('LPG Prover Data Entry'!G59),"",ROUND((999.97358*(1-(0.000000070134*(('LPG Prover Data Entry'!I59+StdTempCorr)-3.9818)+0.000007926504*(('LPG Prover Data Entry'!I59+StdTempCorr)-3.9818)^2+-0.00000007575677*(('LPG Prover Data Entry'!I59+StdTempCorr)-3.9818)^3+0.0000000007314894*(('LPG Prover Data Entry'!I59+StdTempCorr)-3.9818)^4+-0.000000000003596458*(('LPG Prover Data Entry'!I59+StdTempCorr)-3.9818)^5)))/1000,8))</f>
        <v/>
      </c>
      <c r="J14" s="286" t="str">
        <f>IF(ISBLANK('LPG Prover Data Entry'!G59),"",IF(NomValUnit="Nominal Volume (L)",I14*(('LPG Prover Data Entry'!H59+('LPG Prover Data Entry'!J59/1000))*(1+(VLOOKUP('LPG Prover Data Entry'!G59,Standards.Table,8))*(Calculations!H14-G14))),I14*(('LPG Prover Data Entry'!H59+('LPG Prover Data Entry'!J59/231))*(1+(VLOOKUP('LPG Prover Data Entry'!G59,Standards.Table,8))*(Calculations!H14-G14)))))</f>
        <v/>
      </c>
      <c r="K14" s="16"/>
      <c r="L14" s="16"/>
      <c r="M14" s="16"/>
      <c r="N14" s="16"/>
      <c r="O14" s="16"/>
    </row>
    <row r="15" spans="1:15" s="12" customFormat="1" ht="15.95" customHeight="1">
      <c r="A15" s="48">
        <v>10</v>
      </c>
      <c r="B15" s="285" t="str">
        <f>IF(ISBLANK('LPG Prover Data Entry'!B60),"",VLOOKUP('LPG Prover Data Entry'!B60,Standards.Table,6,FALSE))</f>
        <v/>
      </c>
      <c r="C15" s="285" t="str">
        <f>IF(ISBLANK('LPG Prover Data Entry'!B60),"",IF(RefTempUnit="Designated Reference Temperature For This Calibration (ºC)",'LPG Prover Data Entry'!D60+StdTempCorr,('LPG Prover Data Entry'!D60+StdTempCorr)*1.8+32))</f>
        <v/>
      </c>
      <c r="D15" s="283" t="str">
        <f>IF(ISBLANK('LPG Prover Data Entry'!B60),"",ROUND((999.97358*(1-(0.000000070134*(('LPG Prover Data Entry'!D60+StdTempCorr)-3.9818)+0.000007926504*(('LPG Prover Data Entry'!D60+StdTempCorr)-3.9818)^2+-0.00000007575677*(('LPG Prover Data Entry'!D60+StdTempCorr)-3.9818)^3+0.0000000007314894*(('LPG Prover Data Entry'!D60+StdTempCorr)-3.9818)^4+-0.000000000003596458*(('LPG Prover Data Entry'!D60+StdTempCorr)-3.9818)^5)))/1000,8))</f>
        <v/>
      </c>
      <c r="E15" s="284" t="str">
        <f>IF(ISBLANK('LPG Prover Data Entry'!B60),"",IF(NomValUnit="Nominal Volume (L)",D15*(('LPG Prover Data Entry'!C60+('LPG Prover Data Entry'!E60/1000))*(1+(VLOOKUP('LPG Prover Data Entry'!B60,Standards.Table,8))*(Calculations!C15-B15))),D15*(('LPG Prover Data Entry'!C60+('LPG Prover Data Entry'!E60/231))*(1+(VLOOKUP('LPG Prover Data Entry'!B60,Standards.Table,8))*(Calculations!C15-B15)))))</f>
        <v/>
      </c>
      <c r="F15" s="48">
        <v>10</v>
      </c>
      <c r="G15" s="285" t="str">
        <f>IF(ISBLANK('LPG Prover Data Entry'!G60),"",VLOOKUP('LPG Prover Data Entry'!G60,Standards.Table,6,FALSE))</f>
        <v/>
      </c>
      <c r="H15" s="285" t="str">
        <f>IF(ISBLANK('LPG Prover Data Entry'!G60),"",IF(RefTempUnit="Designated Reference Temperature For This Calibration (ºC)",'LPG Prover Data Entry'!I60+StdTempCorr,('LPG Prover Data Entry'!I60+StdTempCorr)*1.8+32))</f>
        <v/>
      </c>
      <c r="I15" s="283" t="str">
        <f>IF(ISBLANK('LPG Prover Data Entry'!G60),"",ROUND((999.97358*(1-(0.000000070134*(('LPG Prover Data Entry'!I60+StdTempCorr)-3.9818)+0.000007926504*(('LPG Prover Data Entry'!I60+StdTempCorr)-3.9818)^2+-0.00000007575677*(('LPG Prover Data Entry'!I60+StdTempCorr)-3.9818)^3+0.0000000007314894*(('LPG Prover Data Entry'!I60+StdTempCorr)-3.9818)^4+-0.000000000003596458*(('LPG Prover Data Entry'!I60+StdTempCorr)-3.9818)^5)))/1000,8))</f>
        <v/>
      </c>
      <c r="J15" s="286" t="str">
        <f>IF(ISBLANK('LPG Prover Data Entry'!G60),"",IF(NomValUnit="Nominal Volume (L)",I15*(('LPG Prover Data Entry'!H60+('LPG Prover Data Entry'!J60/1000))*(1+(VLOOKUP('LPG Prover Data Entry'!G60,Standards.Table,8))*(Calculations!H15-G15))),I15*(('LPG Prover Data Entry'!H60+('LPG Prover Data Entry'!J60/231))*(1+(VLOOKUP('LPG Prover Data Entry'!G60,Standards.Table,8))*(Calculations!H15-G15)))))</f>
        <v/>
      </c>
      <c r="K15" s="16"/>
      <c r="L15" s="16"/>
      <c r="M15" s="16"/>
      <c r="N15" s="16"/>
      <c r="O15" s="16"/>
    </row>
    <row r="16" spans="1:15" s="12" customFormat="1" ht="15.95" customHeight="1">
      <c r="A16" s="48">
        <v>11</v>
      </c>
      <c r="B16" s="285" t="str">
        <f>IF(ISBLANK('LPG Prover Data Entry'!B61),"",VLOOKUP('LPG Prover Data Entry'!B61,Standards.Table,6,FALSE))</f>
        <v/>
      </c>
      <c r="C16" s="285" t="str">
        <f>IF(ISBLANK('LPG Prover Data Entry'!B61),"",IF(RefTempUnit="Designated Reference Temperature For This Calibration (ºC)",'LPG Prover Data Entry'!D61+StdTempCorr,('LPG Prover Data Entry'!D61+StdTempCorr)*1.8+32))</f>
        <v/>
      </c>
      <c r="D16" s="283" t="str">
        <f>IF(ISBLANK('LPG Prover Data Entry'!B61),"",ROUND((999.97358*(1-(0.000000070134*(('LPG Prover Data Entry'!D61+StdTempCorr)-3.9818)+0.000007926504*(('LPG Prover Data Entry'!D61+StdTempCorr)-3.9818)^2+-0.00000007575677*(('LPG Prover Data Entry'!D61+StdTempCorr)-3.9818)^3+0.0000000007314894*(('LPG Prover Data Entry'!D61+StdTempCorr)-3.9818)^4+-0.000000000003596458*(('LPG Prover Data Entry'!D61+StdTempCorr)-3.9818)^5)))/1000,8))</f>
        <v/>
      </c>
      <c r="E16" s="284" t="str">
        <f>IF(ISBLANK('LPG Prover Data Entry'!B61),"",IF(NomValUnit="Nominal Volume (L)",D16*(('LPG Prover Data Entry'!C61+('LPG Prover Data Entry'!E61/1000))*(1+(VLOOKUP('LPG Prover Data Entry'!B61,Standards.Table,8))*(Calculations!C16-B16))),D16*(('LPG Prover Data Entry'!C61+('LPG Prover Data Entry'!E61/231))*(1+(VLOOKUP('LPG Prover Data Entry'!B61,Standards.Table,8))*(Calculations!C16-B16)))))</f>
        <v/>
      </c>
      <c r="F16" s="48">
        <v>11</v>
      </c>
      <c r="G16" s="285" t="str">
        <f>IF(ISBLANK('LPG Prover Data Entry'!G61),"",VLOOKUP('LPG Prover Data Entry'!G61,Standards.Table,6,FALSE))</f>
        <v/>
      </c>
      <c r="H16" s="285" t="str">
        <f>IF(ISBLANK('LPG Prover Data Entry'!G61),"",IF(RefTempUnit="Designated Reference Temperature For This Calibration (ºC)",'LPG Prover Data Entry'!I61+StdTempCorr,('LPG Prover Data Entry'!I61+StdTempCorr)*1.8+32))</f>
        <v/>
      </c>
      <c r="I16" s="283" t="str">
        <f>IF(ISBLANK('LPG Prover Data Entry'!G61),"",ROUND((999.97358*(1-(0.000000070134*(('LPG Prover Data Entry'!I61+StdTempCorr)-3.9818)+0.000007926504*(('LPG Prover Data Entry'!I61+StdTempCorr)-3.9818)^2+-0.00000007575677*(('LPG Prover Data Entry'!I61+StdTempCorr)-3.9818)^3+0.0000000007314894*(('LPG Prover Data Entry'!I61+StdTempCorr)-3.9818)^4+-0.000000000003596458*(('LPG Prover Data Entry'!I61+StdTempCorr)-3.9818)^5)))/1000,8))</f>
        <v/>
      </c>
      <c r="J16" s="286" t="str">
        <f>IF(ISBLANK('LPG Prover Data Entry'!G61),"",IF(NomValUnit="Nominal Volume (L)",I16*(('LPG Prover Data Entry'!H61+('LPG Prover Data Entry'!J61/1000))*(1+(VLOOKUP('LPG Prover Data Entry'!G61,Standards.Table,8))*(Calculations!H16-G16))),I16*(('LPG Prover Data Entry'!H61+('LPG Prover Data Entry'!J61/231))*(1+(VLOOKUP('LPG Prover Data Entry'!G61,Standards.Table,8))*(Calculations!H16-G16)))))</f>
        <v/>
      </c>
      <c r="K16" s="16"/>
      <c r="L16" s="16"/>
      <c r="M16" s="16"/>
      <c r="N16" s="16"/>
      <c r="O16" s="16"/>
    </row>
    <row r="17" spans="1:19" s="12" customFormat="1" ht="15.95" customHeight="1">
      <c r="A17" s="48">
        <v>12</v>
      </c>
      <c r="B17" s="285" t="str">
        <f>IF(ISBLANK('LPG Prover Data Entry'!B62),"",VLOOKUP('LPG Prover Data Entry'!B62,Standards.Table,6,FALSE))</f>
        <v/>
      </c>
      <c r="C17" s="285" t="str">
        <f>IF(ISBLANK('LPG Prover Data Entry'!B62),"",IF(RefTempUnit="Designated Reference Temperature For This Calibration (ºC)",'LPG Prover Data Entry'!D62+StdTempCorr,('LPG Prover Data Entry'!D62+StdTempCorr)*1.8+32))</f>
        <v/>
      </c>
      <c r="D17" s="283" t="str">
        <f>IF(ISBLANK('LPG Prover Data Entry'!B62),"",ROUND((999.97358*(1-(0.000000070134*(('LPG Prover Data Entry'!D62+StdTempCorr)-3.9818)+0.000007926504*(('LPG Prover Data Entry'!D62+StdTempCorr)-3.9818)^2+-0.00000007575677*(('LPG Prover Data Entry'!D62+StdTempCorr)-3.9818)^3+0.0000000007314894*(('LPG Prover Data Entry'!D62+StdTempCorr)-3.9818)^4+-0.000000000003596458*(('LPG Prover Data Entry'!D62+StdTempCorr)-3.9818)^5)))/1000,8))</f>
        <v/>
      </c>
      <c r="E17" s="284" t="str">
        <f>IF(ISBLANK('LPG Prover Data Entry'!B62),"",IF(NomValUnit="Nominal Volume (L)",D17*(('LPG Prover Data Entry'!C62+('LPG Prover Data Entry'!E62/1000))*(1+(VLOOKUP('LPG Prover Data Entry'!B62,Standards.Table,8))*(Calculations!C17-B17))),D17*(('LPG Prover Data Entry'!C62+('LPG Prover Data Entry'!E62/231))*(1+(VLOOKUP('LPG Prover Data Entry'!B62,Standards.Table,8))*(Calculations!C17-B17)))))</f>
        <v/>
      </c>
      <c r="F17" s="48">
        <v>12</v>
      </c>
      <c r="G17" s="285" t="str">
        <f>IF(ISBLANK('LPG Prover Data Entry'!G62),"",VLOOKUP('LPG Prover Data Entry'!G62,Standards.Table,6,FALSE))</f>
        <v/>
      </c>
      <c r="H17" s="285" t="str">
        <f>IF(ISBLANK('LPG Prover Data Entry'!G62),"",IF(RefTempUnit="Designated Reference Temperature For This Calibration (ºC)",'LPG Prover Data Entry'!I62+StdTempCorr,('LPG Prover Data Entry'!I62+StdTempCorr)*1.8+32))</f>
        <v/>
      </c>
      <c r="I17" s="283" t="str">
        <f>IF(ISBLANK('LPG Prover Data Entry'!G62),"",ROUND((999.97358*(1-(0.000000070134*(('LPG Prover Data Entry'!I62+StdTempCorr)-3.9818)+0.000007926504*(('LPG Prover Data Entry'!I62+StdTempCorr)-3.9818)^2+-0.00000007575677*(('LPG Prover Data Entry'!I62+StdTempCorr)-3.9818)^3+0.0000000007314894*(('LPG Prover Data Entry'!I62+StdTempCorr)-3.9818)^4+-0.000000000003596458*(('LPG Prover Data Entry'!I62+StdTempCorr)-3.9818)^5)))/1000,8))</f>
        <v/>
      </c>
      <c r="J17" s="286" t="str">
        <f>IF(ISBLANK('LPG Prover Data Entry'!G62),"",IF(NomValUnit="Nominal Volume (L)",I17*(('LPG Prover Data Entry'!H62+('LPG Prover Data Entry'!J62/1000))*(1+(VLOOKUP('LPG Prover Data Entry'!G62,Standards.Table,8))*(Calculations!H17-G17))),I17*(('LPG Prover Data Entry'!H62+('LPG Prover Data Entry'!J62/231))*(1+(VLOOKUP('LPG Prover Data Entry'!G62,Standards.Table,8))*(Calculations!H17-G17)))))</f>
        <v/>
      </c>
      <c r="K17" s="16"/>
      <c r="L17" s="16"/>
      <c r="M17" s="16"/>
      <c r="N17" s="16"/>
      <c r="O17" s="16"/>
    </row>
    <row r="18" spans="1:19" s="12" customFormat="1" ht="15.95" customHeight="1">
      <c r="A18" s="48">
        <v>13</v>
      </c>
      <c r="B18" s="285" t="str">
        <f>IF(ISBLANK('LPG Prover Data Entry'!B63),"",VLOOKUP('LPG Prover Data Entry'!B63,Standards.Table,6,FALSE))</f>
        <v/>
      </c>
      <c r="C18" s="285" t="str">
        <f>IF(ISBLANK('LPG Prover Data Entry'!B63),"",IF(RefTempUnit="Designated Reference Temperature For This Calibration (ºC)",'LPG Prover Data Entry'!D63+StdTempCorr,('LPG Prover Data Entry'!D63+StdTempCorr)*1.8+32))</f>
        <v/>
      </c>
      <c r="D18" s="283" t="str">
        <f>IF(ISBLANK('LPG Prover Data Entry'!B63),"",ROUND((999.97358*(1-(0.000000070134*(('LPG Prover Data Entry'!D63+StdTempCorr)-3.9818)+0.000007926504*(('LPG Prover Data Entry'!D63+StdTempCorr)-3.9818)^2+-0.00000007575677*(('LPG Prover Data Entry'!D63+StdTempCorr)-3.9818)^3+0.0000000007314894*(('LPG Prover Data Entry'!D63+StdTempCorr)-3.9818)^4+-0.000000000003596458*(('LPG Prover Data Entry'!D63+StdTempCorr)-3.9818)^5)))/1000,8))</f>
        <v/>
      </c>
      <c r="E18" s="284" t="str">
        <f>IF(ISBLANK('LPG Prover Data Entry'!B63),"",IF(NomValUnit="Nominal Volume (L)",D18*(('LPG Prover Data Entry'!C63+('LPG Prover Data Entry'!E63/1000))*(1+(VLOOKUP('LPG Prover Data Entry'!B63,Standards.Table,8))*(Calculations!C18-B18))),D18*(('LPG Prover Data Entry'!C63+('LPG Prover Data Entry'!E63/231))*(1+(VLOOKUP('LPG Prover Data Entry'!B63,Standards.Table,8))*(Calculations!C18-B18)))))</f>
        <v/>
      </c>
      <c r="F18" s="48">
        <v>13</v>
      </c>
      <c r="G18" s="285" t="str">
        <f>IF(ISBLANK('LPG Prover Data Entry'!G63),"",VLOOKUP('LPG Prover Data Entry'!G63,Standards.Table,6,FALSE))</f>
        <v/>
      </c>
      <c r="H18" s="285" t="str">
        <f>IF(ISBLANK('LPG Prover Data Entry'!G63),"",IF(RefTempUnit="Designated Reference Temperature For This Calibration (ºC)",'LPG Prover Data Entry'!I63+StdTempCorr,('LPG Prover Data Entry'!I63+StdTempCorr)*1.8+32))</f>
        <v/>
      </c>
      <c r="I18" s="283" t="str">
        <f>IF(ISBLANK('LPG Prover Data Entry'!G63),"",ROUND((999.97358*(1-(0.000000070134*(('LPG Prover Data Entry'!I63+StdTempCorr)-3.9818)+0.000007926504*(('LPG Prover Data Entry'!I63+StdTempCorr)-3.9818)^2+-0.00000007575677*(('LPG Prover Data Entry'!I63+StdTempCorr)-3.9818)^3+0.0000000007314894*(('LPG Prover Data Entry'!I63+StdTempCorr)-3.9818)^4+-0.000000000003596458*(('LPG Prover Data Entry'!I63+StdTempCorr)-3.9818)^5)))/1000,8))</f>
        <v/>
      </c>
      <c r="J18" s="286" t="str">
        <f>IF(ISBLANK('LPG Prover Data Entry'!G63),"",IF(NomValUnit="Nominal Volume (L)",I18*(('LPG Prover Data Entry'!H63+('LPG Prover Data Entry'!J63/1000))*(1+(VLOOKUP('LPG Prover Data Entry'!G63,Standards.Table,8))*(Calculations!H18-G18))),I18*(('LPG Prover Data Entry'!H63+('LPG Prover Data Entry'!J63/231))*(1+(VLOOKUP('LPG Prover Data Entry'!G63,Standards.Table,8))*(Calculations!H18-G18)))))</f>
        <v/>
      </c>
      <c r="K18" s="16"/>
      <c r="L18" s="16"/>
      <c r="M18" s="16"/>
      <c r="N18" s="16"/>
      <c r="O18" s="16"/>
    </row>
    <row r="19" spans="1:19" s="12" customFormat="1" ht="15.95" customHeight="1">
      <c r="A19" s="48">
        <v>14</v>
      </c>
      <c r="B19" s="285" t="str">
        <f>IF(ISBLANK('LPG Prover Data Entry'!B64),"",VLOOKUP('LPG Prover Data Entry'!B64,Standards.Table,6,FALSE))</f>
        <v/>
      </c>
      <c r="C19" s="285" t="str">
        <f>IF(ISBLANK('LPG Prover Data Entry'!B64),"",IF(RefTempUnit="Designated Reference Temperature For This Calibration (ºC)",'LPG Prover Data Entry'!D64+StdTempCorr,('LPG Prover Data Entry'!D64+StdTempCorr)*1.8+32))</f>
        <v/>
      </c>
      <c r="D19" s="283" t="str">
        <f>IF(ISBLANK('LPG Prover Data Entry'!B64),"",ROUND((999.97358*(1-(0.000000070134*(('LPG Prover Data Entry'!D64+StdTempCorr)-3.9818)+0.000007926504*(('LPG Prover Data Entry'!D64+StdTempCorr)-3.9818)^2+-0.00000007575677*(('LPG Prover Data Entry'!D64+StdTempCorr)-3.9818)^3+0.0000000007314894*(('LPG Prover Data Entry'!D64+StdTempCorr)-3.9818)^4+-0.000000000003596458*(('LPG Prover Data Entry'!D64+StdTempCorr)-3.9818)^5)))/1000,8))</f>
        <v/>
      </c>
      <c r="E19" s="284" t="str">
        <f>IF(ISBLANK('LPG Prover Data Entry'!B64),"",IF(NomValUnit="Nominal Volume (L)",D19*(('LPG Prover Data Entry'!C64+('LPG Prover Data Entry'!E64/1000))*(1+(VLOOKUP('LPG Prover Data Entry'!B64,Standards.Table,8))*(Calculations!C19-B19))),D19*(('LPG Prover Data Entry'!C64+('LPG Prover Data Entry'!E64/231))*(1+(VLOOKUP('LPG Prover Data Entry'!B64,Standards.Table,8))*(Calculations!C19-B19)))))</f>
        <v/>
      </c>
      <c r="F19" s="48">
        <v>14</v>
      </c>
      <c r="G19" s="285" t="str">
        <f>IF(ISBLANK('LPG Prover Data Entry'!G64),"",VLOOKUP('LPG Prover Data Entry'!G64,Standards.Table,6,FALSE))</f>
        <v/>
      </c>
      <c r="H19" s="285" t="str">
        <f>IF(ISBLANK('LPG Prover Data Entry'!G64),"",IF(RefTempUnit="Designated Reference Temperature For This Calibration (ºC)",'LPG Prover Data Entry'!I64+StdTempCorr,('LPG Prover Data Entry'!I64+StdTempCorr)*1.8+32))</f>
        <v/>
      </c>
      <c r="I19" s="283" t="str">
        <f>IF(ISBLANK('LPG Prover Data Entry'!G64),"",ROUND((999.97358*(1-(0.000000070134*(('LPG Prover Data Entry'!I64+StdTempCorr)-3.9818)+0.000007926504*(('LPG Prover Data Entry'!I64+StdTempCorr)-3.9818)^2+-0.00000007575677*(('LPG Prover Data Entry'!I64+StdTempCorr)-3.9818)^3+0.0000000007314894*(('LPG Prover Data Entry'!I64+StdTempCorr)-3.9818)^4+-0.000000000003596458*(('LPG Prover Data Entry'!I64+StdTempCorr)-3.9818)^5)))/1000,8))</f>
        <v/>
      </c>
      <c r="J19" s="286" t="str">
        <f>IF(ISBLANK('LPG Prover Data Entry'!G64),"",IF(NomValUnit="Nominal Volume (L)",I19*(('LPG Prover Data Entry'!H64+('LPG Prover Data Entry'!J64/1000))*(1+(VLOOKUP('LPG Prover Data Entry'!G64,Standards.Table,8))*(Calculations!H19-G19))),I19*(('LPG Prover Data Entry'!H64+('LPG Prover Data Entry'!J64/231))*(1+(VLOOKUP('LPG Prover Data Entry'!G64,Standards.Table,8))*(Calculations!H19-G19)))))</f>
        <v/>
      </c>
      <c r="K19" s="16"/>
      <c r="L19" s="16"/>
      <c r="M19" s="16"/>
      <c r="N19" s="16"/>
      <c r="O19" s="16"/>
    </row>
    <row r="20" spans="1:19" s="12" customFormat="1" ht="15.95" customHeight="1">
      <c r="A20" s="157">
        <v>15</v>
      </c>
      <c r="B20" s="285" t="str">
        <f>IF(ISBLANK('LPG Prover Data Entry'!B65),"",VLOOKUP('LPG Prover Data Entry'!B65,Standards.Table,6,FALSE))</f>
        <v/>
      </c>
      <c r="C20" s="285" t="str">
        <f>IF(ISBLANK('LPG Prover Data Entry'!B65),"",IF(RefTempUnit="Designated Reference Temperature For This Calibration (ºC)",'LPG Prover Data Entry'!D65+StdTempCorr,('LPG Prover Data Entry'!D65+StdTempCorr)*1.8+32))</f>
        <v/>
      </c>
      <c r="D20" s="283" t="str">
        <f>IF(ISBLANK('LPG Prover Data Entry'!B65),"",ROUND((999.97358*(1-(0.000000070134*(('LPG Prover Data Entry'!D65+StdTempCorr)-3.9818)+0.000007926504*(('LPG Prover Data Entry'!D65+StdTempCorr)-3.9818)^2+-0.00000007575677*(('LPG Prover Data Entry'!D65+StdTempCorr)-3.9818)^3+0.0000000007314894*(('LPG Prover Data Entry'!D65+StdTempCorr)-3.9818)^4+-0.000000000003596458*(('LPG Prover Data Entry'!D65+StdTempCorr)-3.9818)^5)))/1000,8))</f>
        <v/>
      </c>
      <c r="E20" s="284" t="str">
        <f>IF(ISBLANK('LPG Prover Data Entry'!B65),"",IF(NomValUnit="Nominal Volume (L)",D20*(('LPG Prover Data Entry'!C65+('LPG Prover Data Entry'!E65/1000))*(1+(VLOOKUP('LPG Prover Data Entry'!B65,Standards.Table,8))*(Calculations!C20-B20))),D20*(('LPG Prover Data Entry'!C65+('LPG Prover Data Entry'!E65/231))*(1+(VLOOKUP('LPG Prover Data Entry'!B65,Standards.Table,8))*(Calculations!C20-B20)))))</f>
        <v/>
      </c>
      <c r="F20" s="157">
        <v>15</v>
      </c>
      <c r="G20" s="285" t="str">
        <f>IF(ISBLANK('LPG Prover Data Entry'!G65),"",VLOOKUP('LPG Prover Data Entry'!G65,Standards.Table,6,FALSE))</f>
        <v/>
      </c>
      <c r="H20" s="285" t="str">
        <f>IF(ISBLANK('LPG Prover Data Entry'!G65),"",IF(RefTempUnit="Designated Reference Temperature For This Calibration (ºC)",'LPG Prover Data Entry'!I65+StdTempCorr,('LPG Prover Data Entry'!I65+StdTempCorr)*1.8+32))</f>
        <v/>
      </c>
      <c r="I20" s="283" t="str">
        <f>IF(ISBLANK('LPG Prover Data Entry'!G65),"",ROUND((999.97358*(1-(0.000000070134*(('LPG Prover Data Entry'!I65+StdTempCorr)-3.9818)+0.000007926504*(('LPG Prover Data Entry'!I65+StdTempCorr)-3.9818)^2+-0.00000007575677*(('LPG Prover Data Entry'!I65+StdTempCorr)-3.9818)^3+0.0000000007314894*(('LPG Prover Data Entry'!I65+StdTempCorr)-3.9818)^4+-0.000000000003596458*(('LPG Prover Data Entry'!I65+StdTempCorr)-3.9818)^5)))/1000,8))</f>
        <v/>
      </c>
      <c r="J20" s="286" t="str">
        <f>IF(ISBLANK('LPG Prover Data Entry'!G65),"",IF(NomValUnit="Nominal Volume (L)",I20*(('LPG Prover Data Entry'!H65+('LPG Prover Data Entry'!J65/1000))*(1+(VLOOKUP('LPG Prover Data Entry'!G65,Standards.Table,8))*(Calculations!H20-G20))),I20*(('LPG Prover Data Entry'!H65+('LPG Prover Data Entry'!J65/231))*(1+(VLOOKUP('LPG Prover Data Entry'!G65,Standards.Table,8))*(Calculations!H20-G20)))))</f>
        <v/>
      </c>
      <c r="K20" s="16"/>
      <c r="L20" s="16"/>
      <c r="M20" s="16"/>
      <c r="N20" s="16"/>
      <c r="O20" s="16"/>
    </row>
    <row r="21" spans="1:19" s="12" customFormat="1" ht="16.5" customHeight="1" thickBot="1">
      <c r="A21" s="622" t="str">
        <f>IF(NomValUnit="Nominal Volume (L)","Trial 1 Delivered Volume (L) =","Trial 1 Delivered Volume (gal) =")</f>
        <v>Trial 1 Delivered Volume (gal) =</v>
      </c>
      <c r="B21" s="623"/>
      <c r="C21" s="623"/>
      <c r="D21" s="623"/>
      <c r="E21" s="158" t="str">
        <f>IF(t_1="","",SUM(E6:E20))</f>
        <v/>
      </c>
      <c r="F21" s="622" t="str">
        <f>IF(NomValUnit="Nominal Volume (L)","Trial 2 Delivered Volume (L) =","Trial 2 Delivered Volume (gal) =")</f>
        <v>Trial 2 Delivered Volume (gal) =</v>
      </c>
      <c r="G21" s="623"/>
      <c r="H21" s="623"/>
      <c r="I21" s="623"/>
      <c r="J21" s="186" t="str">
        <f>IF(t_2="","",SUM(J6:J20))</f>
        <v/>
      </c>
      <c r="K21" s="16"/>
      <c r="L21" s="16"/>
      <c r="M21" s="16"/>
      <c r="N21" s="16"/>
      <c r="O21" s="16"/>
    </row>
    <row r="22" spans="1:19" s="12" customFormat="1" ht="16.5" customHeight="1">
      <c r="A22" s="618" t="s">
        <v>86</v>
      </c>
      <c r="B22" s="618"/>
      <c r="C22" s="618"/>
      <c r="D22" s="618"/>
      <c r="E22" s="618"/>
      <c r="F22" s="618" t="s">
        <v>87</v>
      </c>
      <c r="G22" s="618"/>
      <c r="H22" s="618"/>
      <c r="I22" s="618"/>
      <c r="J22" s="618"/>
      <c r="K22" s="16"/>
      <c r="L22" s="16"/>
      <c r="M22" s="16"/>
      <c r="N22" s="16"/>
      <c r="O22" s="16"/>
    </row>
    <row r="23" spans="1:19" s="12" customFormat="1" ht="16.5" customHeight="1">
      <c r="A23" s="637" t="s">
        <v>88</v>
      </c>
      <c r="B23" s="638"/>
      <c r="C23" s="639"/>
      <c r="D23" s="640" t="str">
        <f>IF(t_1="","",ROUND((999.97358*(1-(0.000000070134*((t_1+ProverTempCorr)-3.9818)+0.000007926504*((t_1+ProverTempCorr)-3.9818)^2+-0.00000007575677*((t_1+ProverTempCorr)-3.9818)^3+0.0000000007314894*((t_1+ProverTempCorr)-3.9818)^4+-0.000000000003596458*((t_1+ProverTempCorr)-3.9818)^5)))/1000,8))</f>
        <v/>
      </c>
      <c r="E23" s="640"/>
      <c r="F23" s="637" t="s">
        <v>88</v>
      </c>
      <c r="G23" s="638"/>
      <c r="H23" s="638"/>
      <c r="I23" s="640" t="str">
        <f>IF(t_2="","",ROUND((999.97358*(1-(0.000000070134*((t_2+ProverTempCorr)-3.9818)+0.000007926504*((t_2+ProverTempCorr)-3.9818)^2+-0.00000007575677*((t_2+ProverTempCorr)-3.9818)^3+0.0000000007314894*((t_2+ProverTempCorr)-3.9818)^4+-0.000000000003596458*((t_2+ProverTempCorr)-3.9818)^5)))/1000,8))</f>
        <v/>
      </c>
      <c r="J23" s="641"/>
      <c r="K23" s="16"/>
      <c r="L23" s="16"/>
      <c r="M23" s="16"/>
      <c r="N23" s="16"/>
      <c r="O23" s="16"/>
    </row>
    <row r="24" spans="1:19" s="12" customFormat="1" ht="16.5" customHeight="1">
      <c r="A24" s="625" t="str">
        <f>IF(RefTempUnit="Designated Reference Temperature For This Calibration (ºC)","Water Temperature (ºC) =","Water Temperature (ºF) =")</f>
        <v>Water Temperature (ºF) =</v>
      </c>
      <c r="B24" s="626"/>
      <c r="C24" s="626"/>
      <c r="D24" s="627" t="str">
        <f>IF(t_1="","",IF(RefTempUnit="Designated Reference Temperature For This Calibration (ºC)",t_1+ProverTempCorr,(t_1+ProverTempCorr)*1.8+32))</f>
        <v/>
      </c>
      <c r="E24" s="627"/>
      <c r="F24" s="625" t="str">
        <f>IF(RefTempUnit="Designated Reference Temperature For This Calibration (ºC)","Water Temperature (ºC) =","Water Temperature (ºF) =")</f>
        <v>Water Temperature (ºF) =</v>
      </c>
      <c r="G24" s="626"/>
      <c r="H24" s="626"/>
      <c r="I24" s="627" t="str">
        <f>IF(t_2="","",IF(RefTempUnit="Designated Reference Temperature For This Calibration (ºC)",t_2+ProverTempCorr,(t_2+ProverTempCorr)*1.8+32))</f>
        <v/>
      </c>
      <c r="J24" s="628"/>
      <c r="K24" s="16"/>
      <c r="L24" s="16"/>
      <c r="M24" s="16"/>
      <c r="N24" s="16"/>
      <c r="O24" s="16"/>
    </row>
    <row r="25" spans="1:19" s="12" customFormat="1" ht="12" customHeight="1">
      <c r="C25" s="10"/>
      <c r="D25" s="11"/>
      <c r="I25" s="16"/>
      <c r="J25" s="16"/>
      <c r="K25" s="16"/>
      <c r="L25" s="16"/>
      <c r="M25" s="16"/>
      <c r="N25" s="16"/>
      <c r="O25" s="16"/>
    </row>
    <row r="26" spans="1:19" s="6" customFormat="1" ht="16.5" customHeight="1" thickBot="1">
      <c r="A26" s="51" t="s">
        <v>256</v>
      </c>
      <c r="B26" s="59"/>
      <c r="C26" s="1"/>
      <c r="D26" s="9"/>
      <c r="E26" s="5"/>
      <c r="F26" s="13"/>
      <c r="G26" s="13"/>
      <c r="H26" s="5"/>
      <c r="I26" s="41"/>
      <c r="J26" s="41"/>
      <c r="K26"/>
      <c r="L26"/>
      <c r="M26"/>
      <c r="N26"/>
      <c r="O26"/>
      <c r="P26"/>
      <c r="Q26"/>
      <c r="R26"/>
      <c r="S26"/>
    </row>
    <row r="27" spans="1:19" ht="16.5" customHeight="1">
      <c r="A27" s="57"/>
      <c r="B27" s="57"/>
      <c r="D27" s="287" t="s">
        <v>254</v>
      </c>
      <c r="E27" s="636" t="str">
        <f>IF(E21="","",E21/(D23*(1+B*(Calculations!D24-RefT))))</f>
        <v/>
      </c>
      <c r="F27" s="636"/>
      <c r="G27" s="76" t="str">
        <f>IF(Nom_Val="","",IF(AND(RefTempUnit="Designated Reference Temperature For This Calibration (ºC)",NomValUnit="Nominal Volume (L)"),"L @ "&amp;RefT&amp;" ºC",IF(AND(RefTempUnit="Designated Reference Temperature For This Calibration (ºF)",NomValUnit="Nominal Volume (L)"),"L @ "&amp;RefT&amp;" ºF",IF(AND(RefTempUnit="Designated Reference Temperature For This Calibration (ºC)",NomValUnit="Nominal Volume (gal)"),"gal @ "&amp;RefT&amp;" ºC",IF(AND(RefTempUnit="Designated Reference Temperature For This Calibration (ºF)",NomValUnit="Nominal Volume (gal)"),"gal @ "&amp;RefT&amp;" ºF")))))</f>
        <v/>
      </c>
      <c r="K27"/>
      <c r="L27"/>
      <c r="M27"/>
      <c r="N27"/>
      <c r="O27"/>
      <c r="P27"/>
      <c r="Q27"/>
      <c r="R27"/>
      <c r="S27"/>
    </row>
    <row r="28" spans="1:19" ht="16.5" customHeight="1">
      <c r="A28" s="288"/>
      <c r="B28" s="288"/>
      <c r="C28" s="289"/>
      <c r="D28" s="290" t="s">
        <v>255</v>
      </c>
      <c r="E28" s="642" t="str">
        <f>IF(J21="","",J21/(I23*(1+B*(Calculations!I24-RefT))))</f>
        <v/>
      </c>
      <c r="F28" s="642"/>
      <c r="G28" s="291" t="str">
        <f>IF(Nom_Val="","",IF(AND(RefTempUnit="Designated Reference Temperature For This Calibration (ºC)",NomValUnit="Nominal Volume (L)"),"L @ "&amp;RefT&amp;" ºC",IF(AND(RefTempUnit="Designated Reference Temperature For This Calibration (ºF)",NomValUnit="Nominal Volume (L)"),"L @ "&amp;RefT&amp;" ºF",IF(AND(RefTempUnit="Designated Reference Temperature For This Calibration (ºC)",NomValUnit="Nominal Volume (gal)"),"gal @ "&amp;RefT&amp;" ºC",IF(AND(RefTempUnit="Designated Reference Temperature For This Calibration (ºF)",NomValUnit="Nominal Volume (gal)"),"gal @ "&amp;RefT&amp;" ºF")))))</f>
        <v/>
      </c>
      <c r="H28" s="289"/>
      <c r="I28" s="292"/>
      <c r="J28" s="293"/>
      <c r="K28"/>
      <c r="L28"/>
      <c r="M28"/>
      <c r="N28"/>
      <c r="O28"/>
      <c r="P28"/>
      <c r="Q28"/>
      <c r="R28"/>
      <c r="S28"/>
    </row>
    <row r="29" spans="1:19" ht="16.5" customHeight="1">
      <c r="A29" s="81"/>
      <c r="B29" s="81"/>
      <c r="D29" s="45" t="s">
        <v>165</v>
      </c>
      <c r="E29" s="632" t="str">
        <f>IF(E27="","",IF(OR(Scale.Unit="Scale Graduations (gal)",Scale.Unit="Scale Graduations (L)"),E27-'LPG Prover Data Entry'!E69,IF(Scale.Unit="Scale Graduations (mL)",E27-'LPG Prover Data Entry'!E69/1000,E27-'LPG Prover Data Entry'!E69/231)))</f>
        <v/>
      </c>
      <c r="F29" s="632"/>
      <c r="G29" s="77" t="str">
        <f>IF(Nom_Val="","",IF(AND(RefTempUnit="Designated Reference Temperature For This Calibration (ºC)",NomValUnit="Nominal Volume (L)"),"L @ "&amp;RefT&amp;" ºC",IF(AND(RefTempUnit="Designated Reference Temperature For This Calibration (ºF)",NomValUnit="Nominal Volume (L)"),"L @ "&amp;RefT&amp;" ºF",IF(AND(RefTempUnit="Designated Reference Temperature For This Calibration (ºC)",NomValUnit="Nominal Volume (gal)"),"gal @ "&amp;RefT&amp;" ºC",IF(AND(RefTempUnit="Designated Reference Temperature For This Calibration (ºF)",NomValUnit="Nominal Volume (gal)"),"gal @ "&amp;RefT&amp;" ºF")))))</f>
        <v/>
      </c>
      <c r="K29"/>
      <c r="L29"/>
      <c r="M29"/>
      <c r="N29"/>
      <c r="O29"/>
      <c r="P29"/>
      <c r="Q29"/>
      <c r="R29"/>
      <c r="S29"/>
    </row>
    <row r="30" spans="1:19" ht="16.5" customHeight="1">
      <c r="A30" s="81"/>
      <c r="B30" s="81"/>
      <c r="D30" s="45" t="s">
        <v>166</v>
      </c>
      <c r="E30" s="632" t="str">
        <f>IF(E28="","",IF(OR(Scale.Unit="Scale Graduations (gal)",Scale.Unit="Scale Graduations (L)"),E28-'LPG Prover Data Entry'!J69,IF(Scale.Unit="Scale Graduations (mL)",E28-'LPG Prover Data Entry'!J69/1000,E28-'LPG Prover Data Entry'!J69/231)))</f>
        <v/>
      </c>
      <c r="F30" s="632"/>
      <c r="G30" s="77" t="str">
        <f>IF(Nom_Val="","",IF(AND(RefTempUnit="Designated Reference Temperature For This Calibration (ºC)",NomValUnit="Nominal Volume (L)"),"L @ "&amp;RefT&amp;" ºC",IF(AND(RefTempUnit="Designated Reference Temperature For This Calibration (ºF)",NomValUnit="Nominal Volume (L)"),"L @ "&amp;RefT&amp;" ºF",IF(AND(RefTempUnit="Designated Reference Temperature For This Calibration (ºC)",NomValUnit="Nominal Volume (gal)"),"gal @ "&amp;RefT&amp;" ºC",IF(AND(RefTempUnit="Designated Reference Temperature For This Calibration (ºF)",NomValUnit="Nominal Volume (gal)"),"gal @ "&amp;RefT&amp;" ºF")))))</f>
        <v/>
      </c>
      <c r="K30"/>
      <c r="L30"/>
      <c r="M30"/>
      <c r="N30"/>
      <c r="O30"/>
      <c r="P30"/>
      <c r="Q30"/>
      <c r="R30"/>
      <c r="S30"/>
    </row>
    <row r="31" spans="1:19" ht="12" customHeight="1">
      <c r="F31" s="7"/>
      <c r="G31" s="7"/>
      <c r="H31" s="3"/>
      <c r="I31"/>
      <c r="J31"/>
      <c r="K31"/>
      <c r="L31"/>
      <c r="M31"/>
      <c r="N31"/>
      <c r="O31"/>
      <c r="P31"/>
      <c r="Q31"/>
      <c r="R31"/>
      <c r="S31"/>
    </row>
    <row r="32" spans="1:19" ht="25.5" customHeight="1" thickBot="1">
      <c r="A32" s="50" t="s">
        <v>257</v>
      </c>
      <c r="B32" s="50"/>
      <c r="C32" s="1"/>
      <c r="D32" s="9"/>
      <c r="E32" s="5"/>
      <c r="F32" s="13"/>
      <c r="G32" s="13"/>
      <c r="H32" s="5"/>
      <c r="I32" s="41"/>
      <c r="J32" s="41"/>
      <c r="K32"/>
      <c r="L32"/>
      <c r="M32"/>
      <c r="N32"/>
      <c r="O32"/>
      <c r="P32"/>
      <c r="Q32"/>
      <c r="R32"/>
      <c r="S32"/>
    </row>
    <row r="33" spans="1:19" ht="18">
      <c r="A33" s="78"/>
      <c r="B33" s="78"/>
      <c r="D33" s="49" t="s">
        <v>69</v>
      </c>
      <c r="E33" s="636" t="str">
        <f>IF(Z60.2="","",IF(Scale.Unit="Scale Graduations (in³)",Z60.2-Nom_Val*'Water Compressability'!C51-'LPG Prover Data Entry'!J78/231+Nom_Val,IF(Scale.Unit="Scale Graduations (mL)",Z60.2-Nom_Val*'Water Compressability'!C51-'LPG Prover Data Entry'!J78/1000+Nom_Val,Z60.2-Nom_Val*'Water Compressability'!C51-'LPG Prover Data Entry'!J78+Nom_Val)))</f>
        <v/>
      </c>
      <c r="F33" s="636"/>
      <c r="G33" s="76" t="str">
        <f>IF(Nom_Val="","",IF(AND(RefTempUnit="Designated Reference Temperature For This Calibration (ºC)",NomValUnit="Nominal Volume (L)"),"L @ "&amp;RefT&amp;" ºC and 100 psig",IF(AND(RefTempUnit="Designated Reference Temperature For This Calibration (ºF)",NomValUnit="Nominal Volume (L)"),"L @ "&amp;RefT&amp;" ºF and 100 psig",IF(AND(RefTempUnit="Designated Reference Temperature For This Calibration (ºC)",NomValUnit="Nominal Volume (gal)"),"gal @ "&amp;RefT&amp;" ºC and 100 psig",IF(AND(RefTempUnit="Designated Reference Temperature For This Calibration (ºF)",NomValUnit="Nominal Volume (gal)"),"gal @ "&amp;RefT&amp;" ºF and 100 psig")))))</f>
        <v/>
      </c>
      <c r="H33" s="79"/>
      <c r="I33" s="80"/>
      <c r="J33" s="80"/>
      <c r="K33"/>
      <c r="L33"/>
      <c r="M33"/>
      <c r="N33"/>
      <c r="O33"/>
      <c r="P33"/>
      <c r="Q33"/>
      <c r="R33"/>
      <c r="S33"/>
    </row>
    <row r="34" spans="1:19" ht="16.5" customHeight="1">
      <c r="D34" s="49" t="s">
        <v>70</v>
      </c>
      <c r="E34" s="632" t="str">
        <f>IF(Z60.2="","",IF(Scale.Unit="Scale Graduations (in³)",Z60.2-Nom_Val*'Water Compressability'!C51-'LPG Prover Data Entry'!J87/231+Nom_Val,IF(Scale.Unit="Scale Graduations (mL)",Z60.2-Nom_Val*'Water Compressability'!C51-'LPG Prover Data Entry'!J87/1000+Nom_Val,Z60.2-Nom_Val*'Water Compressability'!C51-'LPG Prover Data Entry'!J87+Nom_Val)))</f>
        <v/>
      </c>
      <c r="F34" s="632"/>
      <c r="G34" s="77" t="str">
        <f>IF(Nom_Val="","",IF(AND(RefTempUnit="Designated Reference Temperature For This Calibration (ºC)",NomValUnit="Nominal Volume (L)"),"L @ "&amp;RefT&amp;" ºC and 100 psig",IF(AND(RefTempUnit="Designated Reference Temperature For This Calibration (ºF)",NomValUnit="Nominal Volume (L)"),"L @ "&amp;RefT&amp;" ºF and 100 psig",IF(AND(RefTempUnit="Designated Reference Temperature For This Calibration (ºC)",NomValUnit="Nominal Volume (gal)"),"gal @ "&amp;RefT&amp;" ºC and 100 psig",IF(AND(RefTempUnit="Designated Reference Temperature For This Calibration (ºF)",NomValUnit="Nominal Volume (gal)"),"gal @ "&amp;RefT&amp;" ºF and 100 psig")))))</f>
        <v/>
      </c>
      <c r="H34" s="3"/>
      <c r="I34"/>
      <c r="J34"/>
      <c r="K34"/>
      <c r="L34"/>
      <c r="M34"/>
      <c r="N34"/>
      <c r="O34"/>
      <c r="P34"/>
      <c r="Q34"/>
      <c r="R34"/>
      <c r="S34"/>
    </row>
    <row r="35" spans="1:19" ht="12" customHeight="1">
      <c r="F35" s="7"/>
      <c r="G35" s="7"/>
      <c r="H35" s="3"/>
      <c r="I35"/>
      <c r="J35"/>
      <c r="K35"/>
      <c r="L35"/>
      <c r="M35"/>
      <c r="N35"/>
      <c r="O35"/>
      <c r="P35"/>
      <c r="Q35"/>
      <c r="R35"/>
      <c r="S35"/>
    </row>
    <row r="36" spans="1:19" ht="20.100000000000001" customHeight="1" thickBot="1">
      <c r="A36" s="159" t="s">
        <v>174</v>
      </c>
      <c r="B36" s="159"/>
      <c r="C36" s="159"/>
      <c r="D36" s="159"/>
      <c r="E36" s="159"/>
      <c r="F36" s="159"/>
      <c r="G36" s="159"/>
      <c r="H36" s="159"/>
      <c r="I36" s="159"/>
      <c r="J36" s="159"/>
      <c r="K36" s="2"/>
      <c r="L36" s="2"/>
      <c r="M36" s="2"/>
      <c r="N36" s="2"/>
      <c r="O36" s="2"/>
    </row>
    <row r="37" spans="1:19" ht="35.25" customHeight="1">
      <c r="A37" s="630" t="s">
        <v>531</v>
      </c>
      <c r="B37" s="630"/>
      <c r="C37" s="630"/>
      <c r="D37" s="630"/>
      <c r="E37" s="630"/>
      <c r="F37" s="630"/>
      <c r="G37" s="630"/>
      <c r="H37" s="630"/>
      <c r="I37" s="630"/>
      <c r="J37" s="630"/>
      <c r="K37" s="2"/>
      <c r="L37" s="2"/>
      <c r="M37" s="2"/>
      <c r="N37" s="2"/>
      <c r="O37" s="2"/>
    </row>
    <row r="38" spans="1:19" ht="20.100000000000001" customHeight="1">
      <c r="D38" s="160" t="s">
        <v>177</v>
      </c>
      <c r="E38" s="631" t="str">
        <f>IF(E34="","",0.2%*E34)</f>
        <v/>
      </c>
      <c r="F38" s="631"/>
      <c r="G38" s="58" t="str">
        <f>IF(Nom_Val="","",IF(NomValUnit="Nominal Volume (L)","L","gal"))</f>
        <v/>
      </c>
      <c r="H38" s="643" t="str">
        <f>IF(OR(E38="",E38="N/A"),"",IF(E39&lt;E38,"Uncertainty Meets Criteria.","Uncertainty Fails Criteria, Re-evaluate or Use Different Calibration Method."))</f>
        <v/>
      </c>
      <c r="I38" s="643"/>
      <c r="J38" s="643"/>
      <c r="K38" s="2"/>
      <c r="L38" s="2"/>
      <c r="M38" s="2"/>
      <c r="N38" s="2"/>
      <c r="O38" s="2"/>
    </row>
    <row r="39" spans="1:19" ht="20.100000000000001" customHeight="1">
      <c r="A39" s="58"/>
      <c r="B39" s="58"/>
      <c r="D39" s="160" t="s">
        <v>175</v>
      </c>
      <c r="E39" s="631" t="str">
        <f>ReportedUnc</f>
        <v/>
      </c>
      <c r="F39" s="631"/>
      <c r="G39" s="58" t="str">
        <f>IF(Nom_Val="","",IF(NomValUnit="Nominal Volume (L)","L","gal"))</f>
        <v/>
      </c>
      <c r="H39" s="643"/>
      <c r="I39" s="643"/>
      <c r="J39" s="643"/>
      <c r="K39" s="2"/>
      <c r="L39" s="2"/>
      <c r="M39" s="2"/>
      <c r="N39" s="2"/>
      <c r="O39" s="2"/>
    </row>
    <row r="40" spans="1:19" ht="12" customHeight="1">
      <c r="A40" s="58"/>
      <c r="B40" s="58"/>
      <c r="C40" s="160"/>
      <c r="D40" s="161"/>
      <c r="E40" s="161"/>
      <c r="F40" s="58"/>
      <c r="G40" s="58"/>
      <c r="H40" s="162"/>
      <c r="I40" s="57"/>
      <c r="J40" s="57"/>
      <c r="K40" s="2"/>
      <c r="L40" s="2"/>
      <c r="M40" s="2"/>
      <c r="N40" s="2"/>
      <c r="O40" s="2"/>
    </row>
    <row r="41" spans="1:19" ht="20.100000000000001" customHeight="1" thickBot="1">
      <c r="A41" s="159" t="s">
        <v>176</v>
      </c>
      <c r="B41" s="159"/>
      <c r="C41" s="159"/>
      <c r="D41" s="159"/>
      <c r="E41" s="159"/>
      <c r="F41" s="159"/>
      <c r="G41" s="159"/>
      <c r="H41" s="159"/>
      <c r="I41" s="159"/>
      <c r="J41" s="159"/>
      <c r="K41" s="2"/>
      <c r="L41" s="2"/>
      <c r="M41" s="2"/>
      <c r="N41" s="2"/>
      <c r="O41" s="2"/>
    </row>
    <row r="42" spans="1:19" ht="35.25" customHeight="1">
      <c r="A42" s="630" t="s">
        <v>532</v>
      </c>
      <c r="B42" s="630"/>
      <c r="C42" s="630"/>
      <c r="D42" s="630"/>
      <c r="E42" s="630"/>
      <c r="F42" s="630"/>
      <c r="G42" s="630"/>
      <c r="H42" s="630"/>
      <c r="I42" s="630"/>
      <c r="J42" s="630"/>
      <c r="K42" s="2"/>
      <c r="L42" s="2"/>
      <c r="M42" s="2"/>
      <c r="N42" s="2"/>
      <c r="O42" s="2"/>
    </row>
    <row r="43" spans="1:19" ht="20.100000000000001" customHeight="1">
      <c r="A43" s="58"/>
      <c r="B43" s="58"/>
      <c r="D43" s="160" t="s">
        <v>268</v>
      </c>
      <c r="E43" s="631" t="str">
        <f>IF(Tolerance="","",Nom_Val*0.2%)</f>
        <v/>
      </c>
      <c r="F43" s="631"/>
      <c r="G43" s="58" t="str">
        <f>IF(Nom_Val="","",IF(NomValUnit="Nominal Volume (L)","L","gal"))</f>
        <v/>
      </c>
      <c r="I43" s="2"/>
      <c r="J43" s="2"/>
      <c r="K43" s="2"/>
      <c r="L43" s="2"/>
      <c r="M43" s="2"/>
      <c r="N43" s="2"/>
      <c r="O43" s="2"/>
    </row>
    <row r="44" spans="1:19" ht="20.100000000000001" customHeight="1">
      <c r="A44" s="58"/>
      <c r="B44" s="58"/>
      <c r="D44" s="160" t="s">
        <v>180</v>
      </c>
      <c r="E44" s="631" t="str">
        <f>IF(E33="","",E33-Nom_Val)</f>
        <v/>
      </c>
      <c r="F44" s="631"/>
      <c r="G44" s="58" t="str">
        <f>IF(Nom_Val="","",IF(NomValUnit="Nominal Volume (L)","L","gal"))</f>
        <v/>
      </c>
      <c r="H44" s="644" t="str">
        <f>IF(E44="","",IF(ABS(E44)&lt;=E43,"Artifact Found Within Tolerence.","Artifact Found Out-Of-Tolerance."))</f>
        <v/>
      </c>
      <c r="I44" s="644"/>
      <c r="J44" s="644"/>
      <c r="K44" s="2"/>
      <c r="L44" s="2"/>
      <c r="M44" s="2"/>
      <c r="N44" s="2"/>
      <c r="O44" s="2"/>
    </row>
    <row r="45" spans="1:19" ht="20.100000000000001" customHeight="1">
      <c r="A45" s="58"/>
      <c r="B45" s="58"/>
      <c r="D45" s="160" t="s">
        <v>181</v>
      </c>
      <c r="E45" s="631" t="str">
        <f>IF(E34="","",E34-Nom_Val)</f>
        <v/>
      </c>
      <c r="F45" s="631"/>
      <c r="G45" s="58" t="str">
        <f>IF(Nom_Val="","",IF(NomValUnit="Nominal Volume (L)","L","gal"))</f>
        <v/>
      </c>
      <c r="H45" s="644" t="str">
        <f>IF(E45="","",IF(ABS(E45)&lt;=E43,"Artifact Left Within Tolerence.","Artifact Left Out-Of-Tolerance."))</f>
        <v/>
      </c>
      <c r="I45" s="644"/>
      <c r="J45" s="644"/>
      <c r="K45" s="2"/>
      <c r="L45" s="2"/>
      <c r="M45" s="2"/>
      <c r="N45" s="2"/>
      <c r="O45" s="2"/>
    </row>
    <row r="46" spans="1:19" ht="12" customHeight="1">
      <c r="I46" s="2"/>
      <c r="J46" s="2"/>
      <c r="K46" s="2"/>
      <c r="L46" s="2"/>
      <c r="M46" s="2"/>
      <c r="N46" s="2"/>
      <c r="O46" s="2"/>
    </row>
    <row r="47" spans="1:19" ht="16.5" customHeight="1" thickBot="1">
      <c r="A47" s="51" t="s">
        <v>327</v>
      </c>
      <c r="B47" s="51"/>
      <c r="C47" s="52"/>
      <c r="D47" s="53"/>
      <c r="E47" s="54"/>
      <c r="F47" s="55"/>
      <c r="G47" s="55"/>
      <c r="H47" s="54"/>
      <c r="I47" s="56"/>
      <c r="J47" s="56"/>
      <c r="K47"/>
      <c r="L47"/>
      <c r="M47"/>
      <c r="N47"/>
      <c r="O47"/>
      <c r="P47"/>
      <c r="Q47"/>
      <c r="R47"/>
      <c r="S47"/>
    </row>
    <row r="48" spans="1:19" ht="35.25" customHeight="1">
      <c r="A48" s="630" t="s">
        <v>533</v>
      </c>
      <c r="B48" s="630"/>
      <c r="C48" s="630"/>
      <c r="D48" s="630"/>
      <c r="E48" s="630"/>
      <c r="F48" s="630"/>
      <c r="G48" s="630"/>
      <c r="H48" s="630"/>
      <c r="I48" s="630"/>
      <c r="J48" s="630"/>
      <c r="K48" s="2"/>
      <c r="L48" s="2"/>
      <c r="M48" s="2"/>
      <c r="N48" s="2"/>
      <c r="O48" s="2"/>
    </row>
    <row r="49" spans="1:19" ht="19.5" customHeight="1">
      <c r="D49" s="287" t="s">
        <v>330</v>
      </c>
      <c r="E49" s="634" t="str">
        <f>IF(ISBLANK(Nom_Val),"",Nom_Val*0.0002)</f>
        <v/>
      </c>
      <c r="F49" s="634"/>
      <c r="G49" s="58" t="str">
        <f>IF(Nom_Val="","",IF(NomValUnit="Nominal Volume (L)","L","gal"))</f>
        <v/>
      </c>
      <c r="H49" s="633" t="str">
        <f>IF(E50="","",IF(E50&lt;E49,"The Range Test Meets Criteria.","Range Test Fails, Investigate and Correct Any Problems, Then Redo Measurements"))</f>
        <v/>
      </c>
      <c r="I49" s="633"/>
      <c r="J49" s="633"/>
      <c r="K49"/>
      <c r="L49"/>
      <c r="M49"/>
      <c r="N49"/>
      <c r="O49"/>
      <c r="P49"/>
      <c r="Q49"/>
      <c r="R49"/>
      <c r="S49"/>
    </row>
    <row r="50" spans="1:19" ht="19.5" customHeight="1">
      <c r="D50" s="287" t="s">
        <v>22</v>
      </c>
      <c r="E50" s="634" t="str">
        <f>IF(ISERROR(ABS(E29-E30)),"",ABS(E29-E30))</f>
        <v/>
      </c>
      <c r="F50" s="634"/>
      <c r="G50" s="58" t="str">
        <f>IF(Nom_Val="","",IF(NomValUnit="Nominal Volume (L)","L","gal"))</f>
        <v/>
      </c>
      <c r="H50" s="633"/>
      <c r="I50" s="633"/>
      <c r="J50" s="633"/>
      <c r="K50"/>
      <c r="L50"/>
      <c r="M50"/>
      <c r="N50"/>
      <c r="O50"/>
      <c r="P50"/>
      <c r="Q50"/>
      <c r="R50"/>
      <c r="S50"/>
    </row>
    <row r="51" spans="1:19" ht="12" customHeight="1">
      <c r="H51" s="3"/>
      <c r="I51"/>
      <c r="J51"/>
      <c r="K51"/>
      <c r="L51"/>
      <c r="M51"/>
      <c r="N51"/>
      <c r="O51"/>
      <c r="P51"/>
      <c r="Q51"/>
      <c r="R51"/>
      <c r="S51"/>
    </row>
    <row r="52" spans="1:19" ht="16.5" customHeight="1" thickBot="1">
      <c r="A52" s="51" t="s">
        <v>329</v>
      </c>
      <c r="B52" s="51"/>
      <c r="C52" s="52"/>
      <c r="D52" s="53"/>
      <c r="E52" s="54"/>
      <c r="F52" s="55"/>
      <c r="G52" s="55"/>
      <c r="H52" s="54"/>
      <c r="I52" s="56"/>
      <c r="J52" s="56"/>
      <c r="K52"/>
      <c r="L52"/>
      <c r="M52"/>
      <c r="N52"/>
      <c r="O52"/>
      <c r="P52"/>
      <c r="Q52"/>
      <c r="R52"/>
      <c r="S52"/>
    </row>
    <row r="53" spans="1:19" ht="32.25" customHeight="1">
      <c r="A53" s="635" t="s">
        <v>328</v>
      </c>
      <c r="B53" s="635"/>
      <c r="C53" s="635"/>
      <c r="D53" s="635"/>
      <c r="E53" s="635"/>
      <c r="F53" s="635"/>
      <c r="G53" s="635"/>
      <c r="H53" s="635"/>
      <c r="I53" s="635"/>
      <c r="J53" s="635"/>
      <c r="K53"/>
      <c r="L53"/>
      <c r="M53"/>
      <c r="N53"/>
      <c r="O53"/>
      <c r="P53"/>
      <c r="Q53"/>
      <c r="R53"/>
      <c r="S53"/>
    </row>
    <row r="54" spans="1:19" ht="15.75" customHeight="1">
      <c r="D54" s="287" t="s">
        <v>331</v>
      </c>
      <c r="E54" s="634" t="str">
        <f>IF(ISERROR(STDEV(E29,E30)),"",STDEV(E29,E30))</f>
        <v/>
      </c>
      <c r="F54" s="634"/>
      <c r="G54" s="58" t="str">
        <f>IF(Nom_Val="","",IF(NomValUnit="Nominal Volume (L)","L","gal"))</f>
        <v/>
      </c>
      <c r="H54" s="3"/>
      <c r="I54"/>
      <c r="J54"/>
      <c r="K54"/>
      <c r="L54"/>
      <c r="M54"/>
      <c r="N54"/>
      <c r="O54"/>
      <c r="P54"/>
      <c r="Q54"/>
      <c r="R54"/>
      <c r="S54"/>
    </row>
    <row r="55" spans="1:19" ht="12" customHeight="1">
      <c r="H55" s="3"/>
      <c r="I55"/>
      <c r="J55"/>
      <c r="K55"/>
      <c r="L55"/>
      <c r="M55"/>
      <c r="N55"/>
      <c r="O55"/>
      <c r="P55"/>
      <c r="Q55"/>
      <c r="R55"/>
      <c r="S55"/>
    </row>
    <row r="56" spans="1:19" ht="25.5" customHeight="1" thickBot="1">
      <c r="A56" s="50" t="s">
        <v>182</v>
      </c>
      <c r="B56" s="50"/>
      <c r="C56" s="1"/>
      <c r="D56" s="9"/>
      <c r="E56" s="5"/>
      <c r="F56" s="13"/>
      <c r="G56" s="13"/>
      <c r="H56" s="5"/>
      <c r="I56" s="41"/>
      <c r="J56" s="41"/>
      <c r="K56"/>
      <c r="L56"/>
      <c r="M56"/>
      <c r="N56"/>
      <c r="O56"/>
      <c r="P56"/>
      <c r="Q56"/>
      <c r="R56"/>
      <c r="S56"/>
    </row>
    <row r="57" spans="1:19" ht="35.25" customHeight="1">
      <c r="A57" s="403" t="str">
        <f>IF(OR(Nom_Val="",NomValUnit="Nominal Volume (gal)"),"",IF(Scale.Unit="Scale Graduations (L)",AND(ABS('LPG Prover Data Entry'!E91-'LPG Prover Data Entry'!J94)&lt;=0.0002*Nom_Val,ABS('LPG Prover Data Entry'!E92-'LPG Prover Data Entry'!J93)&lt;=0.0002*Nom_Val,ABS('LPG Prover Data Entry'!E93-'LPG Prover Data Entry'!J92)&lt;=0.0002*Nom_Val,ABS('LPG Prover Data Entry'!E94-'LPG Prover Data Entry'!J91)&lt;=0.0002*Nom_Val),AND(ABS('LPG Prover Data Entry'!E91-'LPG Prover Data Entry'!J94)&lt;=0.0002*Nom_Val*1000,ABS('LPG Prover Data Entry'!E92-'LPG Prover Data Entry'!J93)&lt;=0.0002*Nom_Val*1000,ABS('LPG Prover Data Entry'!E93-'LPG Prover Data Entry'!J92)&lt;=0.0002*Nom_Val*1000,ABS('LPG Prover Data Entry'!E94-'LPG Prover Data Entry'!J91)&lt;=0.0002*Nom_Val*1000)))</f>
        <v/>
      </c>
      <c r="B57" s="403"/>
      <c r="C57" s="629" t="s">
        <v>251</v>
      </c>
      <c r="D57" s="629"/>
      <c r="E57" s="629"/>
      <c r="F57" s="629"/>
      <c r="G57" s="629"/>
      <c r="H57" s="629"/>
      <c r="I57" s="629"/>
      <c r="J57" s="403" t="str">
        <f>IF(OR(Nom_Val="",NomValUnit="Nominal Volume (L)"),"",IF(Scale.Unit="Scale Graduations (gal)",AND(ABS('LPG Prover Data Entry'!E91-'LPG Prover Data Entry'!J94)&lt;=0.0002*Nom_Val,ABS('LPG Prover Data Entry'!E92-'LPG Prover Data Entry'!J93)&lt;=0.0002*Nom_Val,ABS('LPG Prover Data Entry'!E93-'LPG Prover Data Entry'!J92)&lt;=0.0002*Nom_Val,ABS('LPG Prover Data Entry'!E94-'LPG Prover Data Entry'!J91)&lt;=0.0002*Nom_Val),AND(ABS('LPG Prover Data Entry'!E91-'LPG Prover Data Entry'!J94)&lt;=0.0002*Nom_Val*231,ABS('LPG Prover Data Entry'!E92-'LPG Prover Data Entry'!J93)&lt;=0.0002*Nom_Val*231,ABS('LPG Prover Data Entry'!E93-'LPG Prover Data Entry'!J92)&lt;=0.0002*Nom_Val*231,ABS('LPG Prover Data Entry'!E94-'LPG Prover Data Entry'!J91)&lt;=0.0002*Nom_Val*231)))</f>
        <v/>
      </c>
      <c r="K57"/>
      <c r="L57"/>
      <c r="M57"/>
      <c r="N57"/>
      <c r="O57"/>
      <c r="P57"/>
      <c r="Q57"/>
      <c r="R57"/>
      <c r="S57"/>
    </row>
    <row r="58" spans="1:19" ht="33" customHeight="1">
      <c r="A58" s="624" t="str">
        <f>IF('LPG Prover Data Entry'!E91="","",IF(AND(NomValUnit="Nominal Volume (L)",A57=TRUE),"Pressure test passed, all like pressure points are within "&amp;0.0002*Nom_Val&amp;" L or "&amp;0.0002*Nom_Val*1000&amp;" mL. Issue Report of Calibration.",IF(AND(NomValUnit="Nominal Volume (gal)",J57=TRUE),"Pressure test passed, all like pressure points are within "&amp;0.0002*Nom_Val&amp;" gal or "&amp;0.0002*Nom_Val*231&amp;" in³. Issue Report of Calibration.",IF(AND(NomValUnit="Nominal Volume (L)",A57=FALSE),"Pressure test failed, some or all like pressure points are not within "&amp;0.0002*Nom_Val&amp;" L or "&amp;0.0002*Nom_Val*1000&amp;" mL.  Investigate the problem (i.e., check for leaks or loose fittings), correct the problem then rerun the test.",IF(AND(NomValUnit="Nominal Volume (gal)",J57=FALSE),"Pressure test failed, some or all like pressure points are not within "&amp;0.0002*Nom_Val&amp;" gal or "&amp;0.0002*Nom_Val*231&amp;" in³.  Investigate the problem (i.e., check for leaks or loose fittings), correct the problem then rerun the test.")))))</f>
        <v/>
      </c>
      <c r="B58" s="624"/>
      <c r="C58" s="624"/>
      <c r="D58" s="624"/>
      <c r="E58" s="624"/>
      <c r="F58" s="624"/>
      <c r="G58" s="624"/>
      <c r="H58" s="624"/>
      <c r="I58" s="624"/>
      <c r="J58" s="624"/>
      <c r="K58"/>
      <c r="L58"/>
      <c r="M58"/>
      <c r="N58"/>
      <c r="O58"/>
      <c r="P58"/>
      <c r="Q58"/>
      <c r="R58"/>
      <c r="S58"/>
    </row>
    <row r="59" spans="1:19" customFormat="1" ht="12" customHeight="1"/>
    <row r="60" spans="1:19" ht="24" customHeight="1" thickBot="1">
      <c r="A60" s="50" t="s">
        <v>100</v>
      </c>
      <c r="B60" s="50"/>
      <c r="C60" s="5"/>
      <c r="D60" s="14"/>
      <c r="E60" s="4"/>
      <c r="F60" s="5"/>
      <c r="G60" s="5"/>
      <c r="H60" s="4"/>
      <c r="I60" s="41"/>
      <c r="J60" s="41"/>
      <c r="K60"/>
      <c r="L60"/>
      <c r="M60"/>
      <c r="N60"/>
      <c r="O60"/>
      <c r="P60"/>
      <c r="Q60"/>
      <c r="R60"/>
      <c r="S60"/>
    </row>
    <row r="61" spans="1:19" ht="15.75">
      <c r="A61" s="60"/>
      <c r="B61" s="60"/>
      <c r="C61" s="60"/>
      <c r="D61" s="89" t="s">
        <v>61</v>
      </c>
      <c r="E61" s="646" t="str">
        <f>IF(E33="","",VLOOKUP(ReportedUnc,Rnd.Table,2))</f>
        <v/>
      </c>
      <c r="F61" s="646"/>
      <c r="G61" s="60"/>
      <c r="H61" s="61"/>
      <c r="I61" s="62"/>
      <c r="J61" s="62"/>
      <c r="K61"/>
      <c r="L61"/>
      <c r="M61"/>
      <c r="N61"/>
      <c r="O61"/>
      <c r="P61"/>
      <c r="Q61"/>
      <c r="R61"/>
      <c r="S61"/>
    </row>
    <row r="62" spans="1:19" ht="15.75">
      <c r="D62" s="49" t="s">
        <v>89</v>
      </c>
      <c r="E62" s="647" t="str">
        <f>IF(Nom_Val="","",Nom_Val)</f>
        <v/>
      </c>
      <c r="F62" s="647"/>
      <c r="G62" s="58" t="str">
        <f>IF(Nom_Val="","",IF(NomValUnit="Nominal Volume (gal)","gal","L"))</f>
        <v/>
      </c>
      <c r="H62" s="8"/>
      <c r="I62"/>
      <c r="J62"/>
      <c r="K62"/>
      <c r="L62"/>
      <c r="M62"/>
      <c r="N62"/>
      <c r="O62"/>
      <c r="P62"/>
      <c r="Q62"/>
      <c r="R62"/>
      <c r="S62"/>
    </row>
    <row r="63" spans="1:19" ht="15.75">
      <c r="D63" s="287" t="s">
        <v>258</v>
      </c>
      <c r="E63" s="645" t="str">
        <f>IF(Nom_Val="","",FIXED(Nom_Val*0.05%,Rnd.Factor))</f>
        <v/>
      </c>
      <c r="F63" s="645"/>
      <c r="G63" s="58" t="str">
        <f>IF(Nom_Val="","",IF(NomValUnit="Nominal Volume (gal)","gal","L"))</f>
        <v/>
      </c>
      <c r="H63" s="8"/>
      <c r="I63"/>
      <c r="J63"/>
      <c r="K63"/>
      <c r="L63"/>
      <c r="M63"/>
      <c r="N63"/>
      <c r="O63"/>
      <c r="P63"/>
      <c r="Q63"/>
      <c r="R63"/>
      <c r="S63"/>
    </row>
    <row r="64" spans="1:19" ht="12.75" customHeight="1">
      <c r="D64" s="49" t="s">
        <v>90</v>
      </c>
      <c r="E64" s="645" t="str">
        <f>IF(ISNUMBER(E33),FIXED(E33,Rnd.Factor),"")</f>
        <v/>
      </c>
      <c r="F64" s="645"/>
      <c r="G64" s="77" t="str">
        <f>IF(Nom_Val="","",IF(AND(RefTempUnit="Designated Reference Temperature For This Calibration (ºC)",NomValUnit="Nominal Volume (L)"),"L @ "&amp;RefT&amp;" ºC and 100 psig",IF(AND(RefTempUnit="Designated Reference Temperature For This Calibration (ºF)",NomValUnit="Nominal Volume (L)"),"L @ "&amp;RefT&amp;" ºF and 100 psig",IF(AND(RefTempUnit="Designated Reference Temperature For This Calibration (ºC)",NomValUnit="Nominal Volume (gal)"),"gal @ "&amp;RefT&amp;" ºC and 100 psig",IF(AND(RefTempUnit="Designated Reference Temperature For This Calibration (ºF)",NomValUnit="Nominal Volume (gal)"),"gal @ "&amp;RefT&amp;" ºF and 100 psig")))))</f>
        <v/>
      </c>
      <c r="H64" s="8"/>
      <c r="I64"/>
      <c r="J64"/>
      <c r="K64"/>
      <c r="L64"/>
      <c r="M64"/>
      <c r="N64"/>
      <c r="O64"/>
      <c r="P64"/>
      <c r="Q64"/>
      <c r="R64"/>
      <c r="S64"/>
    </row>
    <row r="65" spans="1:11" ht="16.5" customHeight="1">
      <c r="D65" s="49" t="s">
        <v>140</v>
      </c>
      <c r="E65" s="645" t="str">
        <f>IF(ISNUMBER(E34),FIXED(E34,Rnd.Factor),"")</f>
        <v/>
      </c>
      <c r="F65" s="645"/>
      <c r="G65" s="77" t="str">
        <f>IF(Nom_Val="","",IF(AND(RefTempUnit="Designated Reference Temperature For This Calibration (ºC)",NomValUnit="Nominal Volume (L)"),"L @ "&amp;RefT&amp;" ºC and 100 psig",IF(AND(RefTempUnit="Designated Reference Temperature For This Calibration (ºF)",NomValUnit="Nominal Volume (L)"),"L @ "&amp;RefT&amp;" ºF and 100 psig",IF(AND(RefTempUnit="Designated Reference Temperature For This Calibration (ºC)",NomValUnit="Nominal Volume (gal)"),"gal @ "&amp;RefT&amp;" ºC and 100 psig",IF(AND(RefTempUnit="Designated Reference Temperature For This Calibration (ºF)",NomValUnit="Nominal Volume (gal)"),"gal @ "&amp;RefT&amp;" ºF and 100 psig")))))</f>
        <v/>
      </c>
      <c r="H65" s="8"/>
      <c r="I65" s="2"/>
      <c r="J65" s="17"/>
      <c r="K65" s="17"/>
    </row>
    <row r="66" spans="1:11" ht="16.5" customHeight="1">
      <c r="D66" s="49" t="s">
        <v>91</v>
      </c>
      <c r="E66" s="645" t="str">
        <f>IF(E61="","",FIXED(ReportedUnc,Rnd.Factor))</f>
        <v/>
      </c>
      <c r="F66" s="645"/>
      <c r="G66" s="58" t="str">
        <f>IF(Nom_Val="","",IF(NomValUnit="Nominal Volume (L)","L","gal"))</f>
        <v/>
      </c>
      <c r="H66" s="8"/>
      <c r="I66" s="2"/>
      <c r="J66" s="17"/>
      <c r="K66" s="17"/>
    </row>
    <row r="67" spans="1:11" ht="16.5" customHeight="1">
      <c r="H67" s="8"/>
      <c r="I67" s="20"/>
      <c r="J67" s="17"/>
      <c r="K67" s="17"/>
    </row>
    <row r="68" spans="1:11" ht="16.5" hidden="1" customHeight="1">
      <c r="I68" s="2"/>
      <c r="J68" s="2"/>
      <c r="K68" s="17"/>
    </row>
    <row r="69" spans="1:11" ht="16.5" hidden="1" customHeight="1">
      <c r="I69" s="2"/>
      <c r="J69" s="2"/>
      <c r="K69" s="17"/>
    </row>
    <row r="70" spans="1:11" hidden="1"/>
    <row r="71" spans="1:11" hidden="1"/>
    <row r="72" spans="1:11" hidden="1"/>
    <row r="73" spans="1:11" hidden="1"/>
    <row r="74" spans="1:11" hidden="1"/>
    <row r="75" spans="1:11" hidden="1"/>
    <row r="76" spans="1:11" hidden="1">
      <c r="A76" s="18"/>
      <c r="B76" s="18"/>
    </row>
    <row r="77" spans="1:11" hidden="1"/>
    <row r="78" spans="1:11" hidden="1"/>
    <row r="79" spans="1:11" hidden="1"/>
    <row r="80" spans="1:11" hidden="1"/>
    <row r="81" hidden="1"/>
    <row r="82" hidden="1"/>
    <row r="83" hidden="1"/>
    <row r="84" hidden="1"/>
    <row r="85" hidden="1"/>
    <row r="86" hidden="1"/>
    <row r="87" hidden="1"/>
    <row r="88" hidden="1"/>
    <row r="89" hidden="1"/>
    <row r="90" hidden="1"/>
    <row r="91" hidden="1"/>
    <row r="92" hidden="1"/>
    <row r="93" hidden="1"/>
    <row r="94" hidden="1"/>
    <row r="95" hidden="1"/>
    <row r="96" hidden="1"/>
    <row r="97" spans="1:2" hidden="1"/>
    <row r="98" spans="1:2" hidden="1"/>
    <row r="99" spans="1:2" hidden="1"/>
    <row r="100" spans="1:2" hidden="1"/>
    <row r="101" spans="1:2" hidden="1"/>
    <row r="102" spans="1:2" hidden="1"/>
    <row r="103" spans="1:2" hidden="1"/>
    <row r="104" spans="1:2" hidden="1"/>
    <row r="105" spans="1:2" hidden="1"/>
    <row r="106" spans="1:2" hidden="1"/>
    <row r="107" spans="1:2" hidden="1">
      <c r="A107" s="23"/>
      <c r="B107" s="23"/>
    </row>
    <row r="108" spans="1:2" hidden="1"/>
    <row r="109" spans="1:2" hidden="1"/>
    <row r="110" spans="1:2" hidden="1"/>
    <row r="111" spans="1:2" hidden="1"/>
    <row r="112" spans="1:2" hidden="1"/>
    <row r="113" hidden="1"/>
    <row r="114" hidden="1"/>
    <row r="115" hidden="1"/>
    <row r="116" hidden="1"/>
    <row r="117" hidden="1"/>
    <row r="118" hidden="1"/>
  </sheetData>
  <sheetProtection password="FFED" sheet="1" objects="1" scenarios="1" selectLockedCells="1" selectUnlockedCells="1"/>
  <mergeCells count="44">
    <mergeCell ref="E66:F66"/>
    <mergeCell ref="E61:F61"/>
    <mergeCell ref="E62:F62"/>
    <mergeCell ref="E64:F64"/>
    <mergeCell ref="E63:F63"/>
    <mergeCell ref="E65:F65"/>
    <mergeCell ref="H38:J39"/>
    <mergeCell ref="H44:J44"/>
    <mergeCell ref="H45:J45"/>
    <mergeCell ref="A48:J48"/>
    <mergeCell ref="E43:F43"/>
    <mergeCell ref="E49:F49"/>
    <mergeCell ref="A23:C23"/>
    <mergeCell ref="D23:E23"/>
    <mergeCell ref="F23:H23"/>
    <mergeCell ref="I23:J23"/>
    <mergeCell ref="E27:F27"/>
    <mergeCell ref="E28:F28"/>
    <mergeCell ref="E29:F29"/>
    <mergeCell ref="E30:F30"/>
    <mergeCell ref="E44:F44"/>
    <mergeCell ref="E45:F45"/>
    <mergeCell ref="H49:J50"/>
    <mergeCell ref="E54:F54"/>
    <mergeCell ref="A53:J53"/>
    <mergeCell ref="E33:F33"/>
    <mergeCell ref="E34:F34"/>
    <mergeCell ref="E50:F50"/>
    <mergeCell ref="A58:J58"/>
    <mergeCell ref="A24:C24"/>
    <mergeCell ref="D24:E24"/>
    <mergeCell ref="F24:H24"/>
    <mergeCell ref="I24:J24"/>
    <mergeCell ref="C57:I57"/>
    <mergeCell ref="A37:J37"/>
    <mergeCell ref="E38:F38"/>
    <mergeCell ref="E39:F39"/>
    <mergeCell ref="A42:J42"/>
    <mergeCell ref="A22:E22"/>
    <mergeCell ref="F22:J22"/>
    <mergeCell ref="A4:E4"/>
    <mergeCell ref="F4:J4"/>
    <mergeCell ref="A21:D21"/>
    <mergeCell ref="F21:I21"/>
  </mergeCells>
  <phoneticPr fontId="19" type="noConversion"/>
  <conditionalFormatting sqref="A58:J58">
    <cfRule type="expression" dxfId="10" priority="1" stopIfTrue="1">
      <formula>OR(AND(NomValUnit="Nominal Volume (L)",A57=TRUE),AND(NomValUnit="Nominal Volume (gal)",J57=TRUE))</formula>
    </cfRule>
    <cfRule type="expression" dxfId="9" priority="2" stopIfTrue="1">
      <formula>OR(AND(NomValUnit="Nominal Volume (L)",A57=FALSE),AND(NomValUnit="Nominal Volume (gal)",J57=FALSE))</formula>
    </cfRule>
  </conditionalFormatting>
  <conditionalFormatting sqref="H49:J50">
    <cfRule type="expression" dxfId="8" priority="3" stopIfTrue="1">
      <formula>AND(ISNUMBER(E50),E50&lt;E49)</formula>
    </cfRule>
    <cfRule type="expression" dxfId="7" priority="4" stopIfTrue="1">
      <formula>AND(ISNUMBER(E50),E50&gt;E49)</formula>
    </cfRule>
  </conditionalFormatting>
  <conditionalFormatting sqref="H44">
    <cfRule type="expression" dxfId="6" priority="5" stopIfTrue="1">
      <formula>AND(ISNUMBER($E$44),ABS($E$44)&lt;=$E$43)</formula>
    </cfRule>
    <cfRule type="expression" dxfId="5" priority="6" stopIfTrue="1">
      <formula>ABS($E$44)&gt;$E$43</formula>
    </cfRule>
  </conditionalFormatting>
  <conditionalFormatting sqref="H45">
    <cfRule type="expression" dxfId="4" priority="7" stopIfTrue="1">
      <formula>AND(ISNUMBER($E$45),ABS($E$45)&lt;=$E$43)</formula>
    </cfRule>
    <cfRule type="expression" dxfId="3" priority="8" stopIfTrue="1">
      <formula>ABS($E$45)&gt;$E$43</formula>
    </cfRule>
  </conditionalFormatting>
  <conditionalFormatting sqref="H38:J39">
    <cfRule type="expression" dxfId="2" priority="9" stopIfTrue="1">
      <formula>$E$39&lt;$E$38</formula>
    </cfRule>
    <cfRule type="expression" dxfId="1" priority="10" stopIfTrue="1">
      <formula>$E$39&gt;$E$38</formula>
    </cfRule>
  </conditionalFormatting>
  <printOptions horizontalCentered="1"/>
  <pageMargins left="0.5" right="0.5" top="1.25" bottom="0.75" header="0.75" footer="0.5"/>
  <pageSetup scale="85" orientation="portrait" horizontalDpi="180" verticalDpi="180" r:id="rId1"/>
  <headerFooter alignWithMargins="0">
    <oddHeader>&amp;L&amp;"Trebuchet MS,Regular"Calibration of LPG Provers&amp;R&amp;"Trebuchet MS,Regular"WAMRF-014, Rev. 21, 3/26/2010</oddHeader>
    <oddFooter>&amp;L&amp;"Trebuchet MS,Regular"&amp;F&amp;R&amp;"Trebuchet MS,Regular"&amp;A Worksheet Page &amp;P of &amp;N</oddFooter>
  </headerFooter>
  <rowBreaks count="1" manualBreakCount="1">
    <brk id="40" max="7" man="1"/>
  </rowBreaks>
  <colBreaks count="1" manualBreakCount="1">
    <brk id="10" max="1048575" man="1"/>
  </colBreaks>
  <legacyDrawing r:id="rId2"/>
</worksheet>
</file>

<file path=xl/worksheets/sheet8.xml><?xml version="1.0" encoding="utf-8"?>
<worksheet xmlns="http://schemas.openxmlformats.org/spreadsheetml/2006/main" xmlns:r="http://schemas.openxmlformats.org/officeDocument/2006/relationships">
  <sheetPr enableFormatConditionsCalculation="0">
    <tabColor indexed="18"/>
  </sheetPr>
  <dimension ref="A1:I68"/>
  <sheetViews>
    <sheetView showGridLines="0" zoomScaleNormal="100" workbookViewId="0"/>
  </sheetViews>
  <sheetFormatPr defaultColWidth="0" defaultRowHeight="12.75" zeroHeight="1"/>
  <cols>
    <col min="1" max="5" width="12.77734375" style="21" customWidth="1"/>
    <col min="6" max="6" width="1.77734375" style="21" customWidth="1"/>
    <col min="7" max="7" width="1.77734375" style="21" hidden="1" customWidth="1"/>
    <col min="8" max="16384" width="8" style="21" hidden="1"/>
  </cols>
  <sheetData>
    <row r="1" spans="1:8" ht="19.5" thickBot="1">
      <c r="A1" s="90" t="s">
        <v>67</v>
      </c>
      <c r="B1" s="90"/>
      <c r="C1" s="90"/>
      <c r="D1" s="90"/>
      <c r="E1" s="94" t="str">
        <f>IF(ISBLANK(RptNo),"","Report Number: "&amp;RptNo)</f>
        <v/>
      </c>
      <c r="H1" s="99"/>
    </row>
    <row r="2" spans="1:8" ht="12" customHeight="1">
      <c r="A2" s="12"/>
      <c r="B2" s="10"/>
      <c r="C2" s="11"/>
      <c r="D2" s="12"/>
      <c r="E2" s="12"/>
      <c r="F2" s="12"/>
      <c r="G2" s="137"/>
      <c r="H2" s="16"/>
    </row>
    <row r="3" spans="1:8" ht="24" customHeight="1" thickBot="1">
      <c r="A3" s="73" t="s">
        <v>103</v>
      </c>
      <c r="B3" s="74"/>
      <c r="C3" s="74"/>
      <c r="D3" s="74"/>
      <c r="E3" s="94"/>
    </row>
    <row r="4" spans="1:8" ht="15">
      <c r="A4" s="75" t="s">
        <v>127</v>
      </c>
      <c r="B4" s="22"/>
      <c r="C4" s="22"/>
      <c r="D4" s="22"/>
      <c r="E4" s="22"/>
      <c r="F4" s="22"/>
      <c r="G4" s="22"/>
    </row>
    <row r="5" spans="1:8" ht="21.75" customHeight="1">
      <c r="A5" s="82"/>
      <c r="B5" s="22"/>
      <c r="C5" s="22"/>
      <c r="D5" s="22"/>
      <c r="E5" s="22"/>
      <c r="F5" s="22"/>
      <c r="G5" s="22"/>
    </row>
    <row r="6" spans="1:8" ht="15">
      <c r="B6" s="155" t="s">
        <v>38</v>
      </c>
      <c r="G6" s="22"/>
    </row>
    <row r="7" spans="1:8" ht="17.25">
      <c r="B7" s="71" t="s">
        <v>252</v>
      </c>
      <c r="C7" s="72" t="s">
        <v>266</v>
      </c>
      <c r="D7" s="72"/>
      <c r="G7" s="22"/>
    </row>
    <row r="8" spans="1:8" ht="17.25">
      <c r="B8" s="71" t="s">
        <v>147</v>
      </c>
      <c r="C8" s="72" t="s">
        <v>66</v>
      </c>
      <c r="D8" s="72"/>
      <c r="G8" s="22"/>
    </row>
    <row r="9" spans="1:8" ht="32.25" customHeight="1">
      <c r="B9" s="180" t="s">
        <v>148</v>
      </c>
      <c r="C9" s="648" t="s">
        <v>142</v>
      </c>
      <c r="D9" s="648"/>
      <c r="E9" s="648"/>
      <c r="G9" s="22"/>
    </row>
    <row r="10" spans="1:8" ht="17.25">
      <c r="B10" s="71" t="s">
        <v>149</v>
      </c>
      <c r="C10" s="72" t="s">
        <v>65</v>
      </c>
      <c r="D10" s="72"/>
      <c r="G10" s="22"/>
    </row>
    <row r="11" spans="1:8" ht="17.25">
      <c r="B11" s="71" t="s">
        <v>150</v>
      </c>
      <c r="C11" s="72" t="s">
        <v>72</v>
      </c>
      <c r="D11" s="72"/>
      <c r="G11" s="22"/>
    </row>
    <row r="12" spans="1:8" ht="12" customHeight="1">
      <c r="B12" s="71"/>
      <c r="C12" s="72"/>
      <c r="D12" s="72"/>
      <c r="G12" s="22"/>
    </row>
    <row r="13" spans="1:8" ht="15.75">
      <c r="A13" s="72" t="s">
        <v>143</v>
      </c>
      <c r="B13" s="71"/>
      <c r="C13" s="72"/>
      <c r="D13" s="72"/>
      <c r="G13" s="22"/>
    </row>
    <row r="14" spans="1:8" ht="39" customHeight="1">
      <c r="G14" s="22"/>
    </row>
    <row r="15" spans="1:8" ht="15">
      <c r="B15" s="155" t="s">
        <v>38</v>
      </c>
      <c r="G15" s="22"/>
    </row>
    <row r="16" spans="1:8" ht="17.25">
      <c r="B16" s="71" t="s">
        <v>151</v>
      </c>
      <c r="C16" s="72" t="s">
        <v>71</v>
      </c>
      <c r="D16" s="72"/>
      <c r="G16" s="22"/>
    </row>
    <row r="17" spans="1:9" ht="17.25">
      <c r="B17" s="71" t="s">
        <v>152</v>
      </c>
      <c r="C17" s="72" t="s">
        <v>141</v>
      </c>
      <c r="D17" s="72"/>
      <c r="G17" s="22"/>
    </row>
    <row r="18" spans="1:9" ht="12" customHeight="1">
      <c r="G18" s="22"/>
    </row>
    <row r="19" spans="1:9" ht="24" customHeight="1" thickBot="1">
      <c r="A19" s="73" t="s">
        <v>102</v>
      </c>
      <c r="B19" s="74"/>
      <c r="C19" s="74"/>
      <c r="D19" s="74"/>
      <c r="E19" s="74"/>
      <c r="F19" s="179"/>
      <c r="G19" s="99"/>
    </row>
    <row r="20" spans="1:9" ht="45">
      <c r="A20" s="401" t="s">
        <v>32</v>
      </c>
      <c r="B20" s="402" t="str">
        <f>IF(Scale.Unit="Scale Graduations (L)","Prover Scale Reading 
(L)",IF(Scale.Unit="Scale Graduations (mL)","Prover Scale Reading 
(mL)",IF(Scale.Unit="Scale Graduations (gal)","Prover Scale Reading 
(gal)","Prover Scale Reading 
(in³)")))</f>
        <v>Prover Scale Reading 
(gal)</v>
      </c>
      <c r="C20" s="402" t="str">
        <f>IF(AND(Scale.Unit="Scale Graduations (L)",'LPG Prover Data Entry'!J88="no"),"Pressure Correction (Pcorr) (L)"&amp;CHAR(178),IF(AND(Scale.Unit="Scale Graduations (L)",'LPG Prover Data Entry'!J88="yes"),"Pressure Correction (Pcorr) (L)"&amp;CHAR(185),IF(AND(Scale.Unit="Scale Graduations (mL)",'LPG Prover Data Entry'!J88="no"),"Pressure Correction (Pcorr) (mL)"&amp;CHAR(178),IF(AND(Scale.Unit="Scale Graduations (mL)",'LPG Prover Data Entry'!J88="yes"),"Pressure Correction (Pcorr) (mL)"&amp;CHAR(185),IF(AND(Scale.Unit="Scale Graduations (gal)",'LPG Prover Data Entry'!J88="no"),"Pressure Correction (Pcorr) (gal)"&amp;CHAR(178),IF(AND(Scale.Unit="Scale Graduations (gal)",'LPG Prover Data Entry'!J88="yes"),"Pressure Correction (Pcorr) (gal)"&amp;CHAR(185),IF(AND(Scale.Unit="Scale Graduations (in³)",'LPG Prover Data Entry'!J88="no"),"Pressure Correction (Pcorr) (in³)"&amp;CHAR(178),"Pressure Correction (Pcorr) (in³)"&amp;CHAR(185))))))))</f>
        <v>Pressure Correction (Pcorr) (in³)¹</v>
      </c>
      <c r="D20" s="402" t="str">
        <f>IF(Scale.Unit="Scale Graduations (L)","Prover Error 
(L)",IF(Scale.Unit="Scale Graduations (mL)","Prover Error 
(mL)",IF(Scale.Unit="Scale Graduations (gal)","Prover Error 
(gal)","Prover Error 
(in³)")))</f>
        <v>Prover Error 
(gal)</v>
      </c>
      <c r="E20" s="402" t="str">
        <f>IF(NomValUnit="Nominal Volume (gal)","Prover Volume 
(gal)","Prover Volume 
(L)")</f>
        <v>Prover Volume 
(gal)</v>
      </c>
      <c r="G20"/>
    </row>
    <row r="21" spans="1:9" ht="15.75">
      <c r="A21" s="98">
        <v>0</v>
      </c>
      <c r="B21" s="125" t="str">
        <f>IF(Z60.2="","",'LPG Prover Data Entry'!E91)</f>
        <v/>
      </c>
      <c r="C21" s="125" t="str">
        <f>IF(Z60.2="","",IF(Scale.Unit="Scale Graduations (in³)",($B$31-B21+('Water Compressability'!$D$39*Nom_Val*231)*((100-A21)/100)),IF(Scale.Unit="Scale Graduations (mL)",($B$31-B21+('Water Compressability'!$D$39*Nom_Val*1000)*((100-A21)/100)),($B$31-B21+('Water Compressability'!$D$39*Nom_Val)*((100-A21)/100)))))</f>
        <v/>
      </c>
      <c r="D21" s="125" t="str">
        <f>IF(Z60.2="","",IF(Scale.Unit="Scale Graduations (in³)",(Z60.2-Nom_Val*'Water Compressability'!C41)*231-B21,IF(Scale.Unit="Scale Graduations (mL)",(Z60.2-Nom_Val*'Water Compressability'!C41)*1000-B21,Z60.2-Nom_Val*'Water Compressability'!C41-B21)))</f>
        <v/>
      </c>
      <c r="E21" s="125" t="str">
        <f t="shared" ref="E21:E41" si="0">IF(Z60.2="","",IF(Scale.Unit="Scale Graduations (in³)",Nom_Val+D21/231,IF(Scale.Unit="Scale Graduations (mL)",Nom_Val+D21/1000,Nom_Val+D21)))</f>
        <v/>
      </c>
      <c r="G21"/>
      <c r="I21" s="83"/>
    </row>
    <row r="22" spans="1:9" ht="15.75">
      <c r="A22" s="96">
        <v>10</v>
      </c>
      <c r="B22" s="126" t="str">
        <f>IF(Z60.2="","",(($B$26-$B$21)/5)+B21)</f>
        <v/>
      </c>
      <c r="C22" s="126" t="str">
        <f>IF(Z60.2="","",IF(Scale.Unit="Scale Graduations (in³)",($B$31-B22+('Water Compressability'!$D$39*Nom_Val*231)*((100-A22)/100)),IF(Scale.Unit="Scale Graduations (mL)",($B$31-B22+('Water Compressability'!$D$39*Nom_Val*1000)*((100-A22)/100)),($B$31-B22+('Water Compressability'!$D$39*Nom_Val)*((100-A22)/100)))))</f>
        <v/>
      </c>
      <c r="D22" s="126" t="str">
        <f>IF(Z60.2="","",IF(Scale.Unit="Scale Graduations (in³)",(Z60.2-Nom_Val*'Water Compressability'!C42)*231-B22,IF(Scale.Unit="Scale Graduations (mL)",(Z60.2-Nom_Val*'Water Compressability'!C42)*1000-B22,Z60.2-Nom_Val*'Water Compressability'!C42-B22)))</f>
        <v/>
      </c>
      <c r="E22" s="126" t="str">
        <f t="shared" si="0"/>
        <v/>
      </c>
      <c r="G22"/>
    </row>
    <row r="23" spans="1:9" ht="15.75">
      <c r="A23" s="95">
        <v>20</v>
      </c>
      <c r="B23" s="127" t="str">
        <f>IF(Z60.2="","",(($B$26-$B$21)/5)+B22)</f>
        <v/>
      </c>
      <c r="C23" s="127" t="str">
        <f>IF(Z60.2="","",IF(Scale.Unit="Scale Graduations (in³)",($B$31-B23+('Water Compressability'!$D$39*Nom_Val*231)*((100-A23)/100)),IF(Scale.Unit="Scale Graduations (mL)",($B$31-B23+('Water Compressability'!$D$39*Nom_Val*1000)*((100-A23)/100)),($B$31-B23+('Water Compressability'!$D$39*Nom_Val)*((100-A23)/100)))))</f>
        <v/>
      </c>
      <c r="D23" s="127" t="str">
        <f>IF(Z60.2="","",IF(Scale.Unit="Scale Graduations (in³)",(Z60.2-Nom_Val*'Water Compressability'!C43)*231-B23,IF(Scale.Unit="Scale Graduations (mL)",(Z60.2-Nom_Val*'Water Compressability'!C43)*1000-B23,Z60.2-Nom_Val*'Water Compressability'!C43-B23)))</f>
        <v/>
      </c>
      <c r="E23" s="127" t="str">
        <f t="shared" si="0"/>
        <v/>
      </c>
      <c r="G23"/>
      <c r="I23" s="83"/>
    </row>
    <row r="24" spans="1:9" ht="15.75">
      <c r="A24" s="96">
        <v>30</v>
      </c>
      <c r="B24" s="126" t="str">
        <f>IF(Z60.2="","",(($B$26-$B$21)/5)+B23)</f>
        <v/>
      </c>
      <c r="C24" s="126" t="str">
        <f>IF(Z60.2="","",IF(Scale.Unit="Scale Graduations (in³)",($B$31-B24+('Water Compressability'!$D$39*Nom_Val*231)*((100-A24)/100)),IF(Scale.Unit="Scale Graduations (mL)",($B$31-B24+('Water Compressability'!$D$39*Nom_Val*1000)*((100-A24)/100)),($B$31-B24+('Water Compressability'!$D$39*Nom_Val)*((100-A24)/100)))))</f>
        <v/>
      </c>
      <c r="D24" s="126" t="str">
        <f>IF(Z60.2="","",IF(Scale.Unit="Scale Graduations (in³)",(Z60.2-Nom_Val*'Water Compressability'!C44)*231-B24,IF(Scale.Unit="Scale Graduations (mL)",(Z60.2-Nom_Val*'Water Compressability'!C44)*1000-B24,Z60.2-Nom_Val*'Water Compressability'!C44-B24)))</f>
        <v/>
      </c>
      <c r="E24" s="126" t="str">
        <f t="shared" si="0"/>
        <v/>
      </c>
      <c r="G24"/>
      <c r="I24" s="83"/>
    </row>
    <row r="25" spans="1:9" ht="15.75">
      <c r="A25" s="95">
        <v>40</v>
      </c>
      <c r="B25" s="127" t="str">
        <f>IF(Z60.2="","",(($B$26-$B$21)/5)+B24)</f>
        <v/>
      </c>
      <c r="C25" s="127" t="str">
        <f>IF(Z60.2="","",IF(Scale.Unit="Scale Graduations (in³)",($B$31-B25+('Water Compressability'!$D$39*Nom_Val*231)*((100-A25)/100)),IF(Scale.Unit="Scale Graduations (mL)",($B$31-B25+('Water Compressability'!$D$39*Nom_Val*1000)*((100-A25)/100)),($B$31-B25+('Water Compressability'!$D$39*Nom_Val)*((100-A25)/100)))))</f>
        <v/>
      </c>
      <c r="D25" s="127" t="str">
        <f>IF(Z60.2="","",IF(Scale.Unit="Scale Graduations (in³)",(Z60.2-Nom_Val*'Water Compressability'!C45)*231-B25,IF(Scale.Unit="Scale Graduations (mL)",(Z60.2-Nom_Val*'Water Compressability'!C45)*1000-B25,Z60.2-Nom_Val*'Water Compressability'!C45-B25)))</f>
        <v/>
      </c>
      <c r="E25" s="127" t="str">
        <f t="shared" si="0"/>
        <v/>
      </c>
      <c r="G25"/>
      <c r="I25" s="83"/>
    </row>
    <row r="26" spans="1:9" ht="15.75">
      <c r="A26" s="96">
        <v>50</v>
      </c>
      <c r="B26" s="126" t="str">
        <f>IF(Z60.2="","",'LPG Prover Data Entry'!E92)</f>
        <v/>
      </c>
      <c r="C26" s="126" t="str">
        <f>IF(Z60.2="","",IF(Scale.Unit="Scale Graduations (in³)",($B$31-B26+('Water Compressability'!$D$39*Nom_Val*231)*((100-A26)/100)),IF(Scale.Unit="Scale Graduations (mL)",($B$31-B26+('Water Compressability'!$D$39*Nom_Val*1000)*((100-A26)/100)),($B$31-B26+('Water Compressability'!$D$39*Nom_Val)*((100-A26)/100)))))</f>
        <v/>
      </c>
      <c r="D26" s="126" t="str">
        <f>IF(Z60.2="","",IF(Scale.Unit="Scale Graduations (in³)",(Z60.2-Nom_Val*'Water Compressability'!C46)*231-B26,IF(Scale.Unit="Scale Graduations (mL)",(Z60.2-Nom_Val*'Water Compressability'!C46)*1000-B26,Z60.2-Nom_Val*'Water Compressability'!C46-B26)))</f>
        <v/>
      </c>
      <c r="E26" s="126" t="str">
        <f t="shared" si="0"/>
        <v/>
      </c>
      <c r="G26"/>
      <c r="I26" s="83"/>
    </row>
    <row r="27" spans="1:9" ht="15.75">
      <c r="A27" s="95">
        <v>60</v>
      </c>
      <c r="B27" s="127" t="str">
        <f>IF(Z60.2="","",(($B$31-$B$26)/5)+B26)</f>
        <v/>
      </c>
      <c r="C27" s="127" t="str">
        <f>IF(Z60.2="","",IF(Scale.Unit="Scale Graduations (in³)",($B$31-B27+('Water Compressability'!$D$39*Nom_Val*231)*((100-A27)/100)),IF(Scale.Unit="Scale Graduations (mL)",($B$31-B27+('Water Compressability'!$D$39*Nom_Val*1000)*((100-A27)/100)),($B$31-B27+('Water Compressability'!$D$39*Nom_Val)*((100-A27)/100)))))</f>
        <v/>
      </c>
      <c r="D27" s="127" t="str">
        <f>IF(Z60.2="","",IF(Scale.Unit="Scale Graduations (in³)",(Z60.2-Nom_Val*'Water Compressability'!C47)*231-B27,IF(Scale.Unit="Scale Graduations (mL)",(Z60.2-Nom_Val*'Water Compressability'!C47)*1000-B27,Z60.2-Nom_Val*'Water Compressability'!C47-B27)))</f>
        <v/>
      </c>
      <c r="E27" s="127" t="str">
        <f t="shared" si="0"/>
        <v/>
      </c>
      <c r="G27"/>
      <c r="I27" s="83"/>
    </row>
    <row r="28" spans="1:9" ht="15.75">
      <c r="A28" s="96">
        <v>70</v>
      </c>
      <c r="B28" s="126" t="str">
        <f>IF(Z60.2="","",(($B$31-$B$26)/5)+B27)</f>
        <v/>
      </c>
      <c r="C28" s="126" t="str">
        <f>IF(Z60.2="","",IF(Scale.Unit="Scale Graduations (in³)",($B$31-B28+('Water Compressability'!$D$39*Nom_Val*231)*((100-A28)/100)),IF(Scale.Unit="Scale Graduations (mL)",($B$31-B28+('Water Compressability'!$D$39*Nom_Val*1000)*((100-A28)/100)),($B$31-B28+('Water Compressability'!$D$39*Nom_Val)*((100-A28)/100)))))</f>
        <v/>
      </c>
      <c r="D28" s="126" t="str">
        <f>IF(Z60.2="","",IF(Scale.Unit="Scale Graduations (in³)",(Z60.2-Nom_Val*'Water Compressability'!C48)*231-B28,IF(Scale.Unit="Scale Graduations (mL)",(Z60.2-Nom_Val*'Water Compressability'!C48)*1000-B28,Z60.2-Nom_Val*'Water Compressability'!C48-B28)))</f>
        <v/>
      </c>
      <c r="E28" s="126" t="str">
        <f t="shared" si="0"/>
        <v/>
      </c>
      <c r="G28"/>
      <c r="I28" s="83"/>
    </row>
    <row r="29" spans="1:9" ht="15.75">
      <c r="A29" s="95">
        <v>80</v>
      </c>
      <c r="B29" s="127" t="str">
        <f>IF(Z60.2="","",(($B$31-$B$26)/5)+B28)</f>
        <v/>
      </c>
      <c r="C29" s="127" t="str">
        <f>IF(Z60.2="","",IF(Scale.Unit="Scale Graduations (in³)",($B$31-B29+('Water Compressability'!$D$39*Nom_Val*231)*((100-A29)/100)),IF(Scale.Unit="Scale Graduations (mL)",($B$31-B29+('Water Compressability'!$D$39*Nom_Val*1000)*((100-A29)/100)),($B$31-B29+('Water Compressability'!$D$39*Nom_Val)*((100-A29)/100)))))</f>
        <v/>
      </c>
      <c r="D29" s="127" t="str">
        <f>IF(Z60.2="","",IF(Scale.Unit="Scale Graduations (in³)",(Z60.2-Nom_Val*'Water Compressability'!C49)*231-B29,IF(Scale.Unit="Scale Graduations (mL)",(Z60.2-Nom_Val*'Water Compressability'!C49)*1000-B29,Z60.2-Nom_Val*'Water Compressability'!C49-B29)))</f>
        <v/>
      </c>
      <c r="E29" s="127" t="str">
        <f t="shared" si="0"/>
        <v/>
      </c>
      <c r="G29"/>
      <c r="I29" s="83"/>
    </row>
    <row r="30" spans="1:9" ht="15.75">
      <c r="A30" s="96">
        <v>90</v>
      </c>
      <c r="B30" s="126" t="str">
        <f>IF(Z60.2="","",(($B$31-$B$26)/5)+B29)</f>
        <v/>
      </c>
      <c r="C30" s="126" t="str">
        <f>IF(Z60.2="","",IF(Scale.Unit="Scale Graduations (in³)",($B$31-B30+('Water Compressability'!$D$39*Nom_Val*231)*((100-A30)/100)),IF(Scale.Unit="Scale Graduations (mL)",($B$31-B30+('Water Compressability'!$D$39*Nom_Val*1000)*((100-A30)/100)),($B$31-B30+('Water Compressability'!$D$39*Nom_Val)*((100-A30)/100)))))</f>
        <v/>
      </c>
      <c r="D30" s="126" t="str">
        <f>IF(Z60.2="","",IF(Scale.Unit="Scale Graduations (in³)",(Z60.2-Nom_Val*'Water Compressability'!C50)*231-B30,IF(Scale.Unit="Scale Graduations (mL)",(Z60.2-Nom_Val*'Water Compressability'!C50)*1000-B30,Z60.2-Nom_Val*'Water Compressability'!C50-B30)))</f>
        <v/>
      </c>
      <c r="E30" s="126" t="str">
        <f t="shared" si="0"/>
        <v/>
      </c>
      <c r="G30"/>
      <c r="I30" s="83"/>
    </row>
    <row r="31" spans="1:9" ht="13.5">
      <c r="A31" s="95">
        <v>100</v>
      </c>
      <c r="B31" s="127" t="str">
        <f>IF(Z60.2="","",'LPG Prover Data Entry'!J87)</f>
        <v/>
      </c>
      <c r="C31" s="127" t="str">
        <f>IF(Z60.2="","",IF(Scale.Unit="Scale Graduations (in³)",($B$31-B31+('Water Compressability'!$D$39*Nom_Val*231)*((100-A31)/100)),IF(Scale.Unit="Scale Graduations (mL)",($B$31-B31+('Water Compressability'!$D$39*Nom_Val*1000)*((100-A31)/100)),($B$31-B31+('Water Compressability'!$D$39*Nom_Val)*((100-A31)/100)))))</f>
        <v/>
      </c>
      <c r="D31" s="127" t="str">
        <f>IF(Z60.2="","",IF(Scale.Unit="Scale Graduations (in³)",(Z60.2-Nom_Val*'Water Compressability'!C51)*231-B31,IF(Scale.Unit="Scale Graduations (mL)",(Z60.2-Nom_Val*'Water Compressability'!C51)*1000-B31,Z60.2-Nom_Val*'Water Compressability'!C51-B31)))</f>
        <v/>
      </c>
      <c r="E31" s="127" t="str">
        <f t="shared" si="0"/>
        <v/>
      </c>
      <c r="G31" s="139"/>
      <c r="I31" s="83"/>
    </row>
    <row r="32" spans="1:9" ht="15.75">
      <c r="A32" s="96">
        <v>110</v>
      </c>
      <c r="B32" s="126" t="str">
        <f>IF(Z60.2="","",(($B$36-$B$31)/5)+B31)</f>
        <v/>
      </c>
      <c r="C32" s="126" t="str">
        <f>IF(Z60.2="","",IF(Scale.Unit="Scale Graduations (in³)",($B$31-B32+('Water Compressability'!$D$39*Nom_Val*231)*((100-A32)/100)),IF(Scale.Unit="Scale Graduations (mL)",($B$31-B32+('Water Compressability'!$D$39*Nom_Val*1000)*((100-A32)/100)),($B$31-B32+('Water Compressability'!$D$39*Nom_Val)*((100-A32)/100)))))</f>
        <v/>
      </c>
      <c r="D32" s="126" t="str">
        <f>IF(Z60.2="","",IF(Scale.Unit="Scale Graduations (in³)",(Z60.2-Nom_Val*'Water Compressability'!C52)*231-B32,IF(Scale.Unit="Scale Graduations (mL)",(Z60.2-Nom_Val*'Water Compressability'!C52)*1000-B32,Z60.2-Nom_Val*'Water Compressability'!C52-B32)))</f>
        <v/>
      </c>
      <c r="E32" s="126" t="str">
        <f t="shared" si="0"/>
        <v/>
      </c>
      <c r="G32"/>
      <c r="I32" s="83"/>
    </row>
    <row r="33" spans="1:9" ht="15.75">
      <c r="A33" s="95">
        <v>120</v>
      </c>
      <c r="B33" s="127" t="str">
        <f>IF(Z60.2="","",(($B$36-$B$31)/5)+B32)</f>
        <v/>
      </c>
      <c r="C33" s="127" t="str">
        <f>IF(Z60.2="","",IF(Scale.Unit="Scale Graduations (in³)",($B$31-B33+('Water Compressability'!$D$39*Nom_Val*231)*((100-A33)/100)),IF(Scale.Unit="Scale Graduations (mL)",($B$31-B33+('Water Compressability'!$D$39*Nom_Val*1000)*((100-A33)/100)),($B$31-B33+('Water Compressability'!$D$39*Nom_Val)*((100-A33)/100)))))</f>
        <v/>
      </c>
      <c r="D33" s="127" t="str">
        <f>IF(Z60.2="","",IF(Scale.Unit="Scale Graduations (in³)",(Z60.2-Nom_Val*'Water Compressability'!C53)*231-B33,IF(Scale.Unit="Scale Graduations (mL)",(Z60.2-Nom_Val*'Water Compressability'!C53)*1000-B33,Z60.2-Nom_Val*'Water Compressability'!C53-B33)))</f>
        <v/>
      </c>
      <c r="E33" s="127" t="str">
        <f t="shared" si="0"/>
        <v/>
      </c>
      <c r="G33"/>
      <c r="I33" s="83"/>
    </row>
    <row r="34" spans="1:9" ht="15.75">
      <c r="A34" s="96">
        <v>130</v>
      </c>
      <c r="B34" s="126" t="str">
        <f>IF(Z60.2="","",(($B$36-$B$31)/5)+B33)</f>
        <v/>
      </c>
      <c r="C34" s="126" t="str">
        <f>IF(Z60.2="","",IF(Scale.Unit="Scale Graduations (in³)",($B$31-B34+('Water Compressability'!$D$39*Nom_Val*231)*((100-A34)/100)),IF(Scale.Unit="Scale Graduations (mL)",($B$31-B34+('Water Compressability'!$D$39*Nom_Val*1000)*((100-A34)/100)),($B$31-B34+('Water Compressability'!$D$39*Nom_Val)*((100-A34)/100)))))</f>
        <v/>
      </c>
      <c r="D34" s="126" t="str">
        <f>IF(Z60.2="","",IF(Scale.Unit="Scale Graduations (in³)",(Z60.2-Nom_Val*'Water Compressability'!C54)*231-B34,IF(Scale.Unit="Scale Graduations (mL)",(Z60.2-Nom_Val*'Water Compressability'!C54)*1000-B34,Z60.2-Nom_Val*'Water Compressability'!C54-B34)))</f>
        <v/>
      </c>
      <c r="E34" s="126" t="str">
        <f t="shared" si="0"/>
        <v/>
      </c>
      <c r="G34"/>
      <c r="I34" s="83"/>
    </row>
    <row r="35" spans="1:9" ht="15.75">
      <c r="A35" s="95">
        <v>140</v>
      </c>
      <c r="B35" s="127" t="str">
        <f>IF(Z60.2="","",(($B$36-$B$31)/5)+B34)</f>
        <v/>
      </c>
      <c r="C35" s="127" t="str">
        <f>IF(Z60.2="","",IF(Scale.Unit="Scale Graduations (in³)",($B$31-B35+('Water Compressability'!$D$39*Nom_Val*231)*((100-A35)/100)),IF(Scale.Unit="Scale Graduations (mL)",($B$31-B35+('Water Compressability'!$D$39*Nom_Val*1000)*((100-A35)/100)),($B$31-B35+('Water Compressability'!$D$39*Nom_Val)*((100-A35)/100)))))</f>
        <v/>
      </c>
      <c r="D35" s="127" t="str">
        <f>IF(Z60.2="","",IF(Scale.Unit="Scale Graduations (in³)",(Z60.2-Nom_Val*'Water Compressability'!C55)*231-B35,IF(Scale.Unit="Scale Graduations (mL)",(Z60.2-Nom_Val*'Water Compressability'!C55)*1000-B35,Z60.2-Nom_Val*'Water Compressability'!C55-B35)))</f>
        <v/>
      </c>
      <c r="E35" s="127" t="str">
        <f t="shared" si="0"/>
        <v/>
      </c>
      <c r="G35"/>
      <c r="I35" s="83"/>
    </row>
    <row r="36" spans="1:9" ht="15.75">
      <c r="A36" s="96">
        <v>150</v>
      </c>
      <c r="B36" s="126" t="str">
        <f>IF(Z60.2="","",'LPG Prover Data Entry'!E94)</f>
        <v/>
      </c>
      <c r="C36" s="126" t="str">
        <f>IF(Z60.2="","",IF(Scale.Unit="Scale Graduations (in³)",($B$31-B36+('Water Compressability'!$D$39*Nom_Val*231)*((100-A36)/100)),IF(Scale.Unit="Scale Graduations (mL)",($B$31-B36+('Water Compressability'!$D$39*Nom_Val*1000)*((100-A36)/100)),($B$31-B36+('Water Compressability'!$D$39*Nom_Val)*((100-A36)/100)))))</f>
        <v/>
      </c>
      <c r="D36" s="126" t="str">
        <f>IF(Z60.2="","",IF(Scale.Unit="Scale Graduations (in³)",(Z60.2-Nom_Val*'Water Compressability'!C56)*231-B36,IF(Scale.Unit="Scale Graduations (mL)",(Z60.2-Nom_Val*'Water Compressability'!C56)*1000-B36,Z60.2-Nom_Val*'Water Compressability'!C56-B36)))</f>
        <v/>
      </c>
      <c r="E36" s="126" t="str">
        <f t="shared" si="0"/>
        <v/>
      </c>
      <c r="G36"/>
      <c r="I36" s="83"/>
    </row>
    <row r="37" spans="1:9" ht="15.75">
      <c r="A37" s="95">
        <v>160</v>
      </c>
      <c r="B37" s="127" t="str">
        <f>IF(Z60.2="","",(($B$41-$B$36)/5)+B36)</f>
        <v/>
      </c>
      <c r="C37" s="127" t="str">
        <f>IF(Z60.2="","",IF(Scale.Unit="Scale Graduations (in³)",($B$31-B37+('Water Compressability'!$D$39*Nom_Val*231)*((100-A37)/100)),IF(Scale.Unit="Scale Graduations (mL)",($B$31-B37+('Water Compressability'!$D$39*Nom_Val*1000)*((100-A37)/100)),($B$31-B37+('Water Compressability'!$D$39*Nom_Val)*((100-A37)/100)))))</f>
        <v/>
      </c>
      <c r="D37" s="127" t="str">
        <f>IF(Z60.2="","",IF(Scale.Unit="Scale Graduations (in³)",(Z60.2-Nom_Val*'Water Compressability'!C57)*231-B37,IF(Scale.Unit="Scale Graduations (mL)",(Z60.2-Nom_Val*'Water Compressability'!C57)*1000-B37,Z60.2-Nom_Val*'Water Compressability'!C57-B37)))</f>
        <v/>
      </c>
      <c r="E37" s="127" t="str">
        <f t="shared" si="0"/>
        <v/>
      </c>
      <c r="G37"/>
      <c r="I37" s="83"/>
    </row>
    <row r="38" spans="1:9" ht="15.75">
      <c r="A38" s="96">
        <v>170</v>
      </c>
      <c r="B38" s="126" t="str">
        <f>IF(Z60.2="","",(($B$41-$B$36)/5)+B37)</f>
        <v/>
      </c>
      <c r="C38" s="126" t="str">
        <f>IF(Z60.2="","",IF(Scale.Unit="Scale Graduations (in³)",($B$31-B38+('Water Compressability'!$D$39*Nom_Val*231)*((100-A38)/100)),IF(Scale.Unit="Scale Graduations (mL)",($B$31-B38+('Water Compressability'!$D$39*Nom_Val*1000)*((100-A38)/100)),($B$31-B38+('Water Compressability'!$D$39*Nom_Val)*((100-A38)/100)))))</f>
        <v/>
      </c>
      <c r="D38" s="126" t="str">
        <f>IF(Z60.2="","",IF(Scale.Unit="Scale Graduations (in³)",(Z60.2-Nom_Val*'Water Compressability'!C58)*231-B38,IF(Scale.Unit="Scale Graduations (mL)",(Z60.2-Nom_Val*'Water Compressability'!C58)*1000-B38,Z60.2-Nom_Val*'Water Compressability'!C58-B38)))</f>
        <v/>
      </c>
      <c r="E38" s="126" t="str">
        <f t="shared" si="0"/>
        <v/>
      </c>
      <c r="G38"/>
      <c r="I38" s="83"/>
    </row>
    <row r="39" spans="1:9" ht="15.75">
      <c r="A39" s="95">
        <v>180</v>
      </c>
      <c r="B39" s="127" t="str">
        <f>IF(Z60.2="","",(($B$41-$B$36)/5)+B38)</f>
        <v/>
      </c>
      <c r="C39" s="127" t="str">
        <f>IF(Z60.2="","",IF(Scale.Unit="Scale Graduations (in³)",($B$31-B39+('Water Compressability'!$D$39*Nom_Val*231)*((100-A39)/100)),IF(Scale.Unit="Scale Graduations (mL)",($B$31-B39+('Water Compressability'!$D$39*Nom_Val*1000)*((100-A39)/100)),($B$31-B39+('Water Compressability'!$D$39*Nom_Val)*((100-A39)/100)))))</f>
        <v/>
      </c>
      <c r="D39" s="127" t="str">
        <f>IF(Z60.2="","",IF(Scale.Unit="Scale Graduations (in³)",(Z60.2-Nom_Val*'Water Compressability'!C59)*231-B39,IF(Scale.Unit="Scale Graduations (mL)",(Z60.2-Nom_Val*'Water Compressability'!C59)*1000-B39,Z60.2-Nom_Val*'Water Compressability'!C59-B39)))</f>
        <v/>
      </c>
      <c r="E39" s="127" t="str">
        <f t="shared" si="0"/>
        <v/>
      </c>
      <c r="G39"/>
      <c r="I39" s="83"/>
    </row>
    <row r="40" spans="1:9" ht="15.75">
      <c r="A40" s="96">
        <v>190</v>
      </c>
      <c r="B40" s="126" t="str">
        <f>IF(Z60.2="","",(($B$41-$B$36)/5)+B39)</f>
        <v/>
      </c>
      <c r="C40" s="126" t="str">
        <f>IF(Z60.2="","",IF(Scale.Unit="Scale Graduations (in³)",($B$31-B40+('Water Compressability'!$D$39*Nom_Val*231)*((100-A40)/100)),IF(Scale.Unit="Scale Graduations (mL)",($B$31-B40+('Water Compressability'!$D$39*Nom_Val*1000)*((100-A40)/100)),($B$31-B40+('Water Compressability'!$D$39*Nom_Val)*((100-A40)/100)))))</f>
        <v/>
      </c>
      <c r="D40" s="126" t="str">
        <f>IF(Z60.2="","",IF(Scale.Unit="Scale Graduations (in³)",(Z60.2-Nom_Val*'Water Compressability'!C60)*231-B40,IF(Scale.Unit="Scale Graduations (mL)",(Z60.2-Nom_Val*'Water Compressability'!C60)*1000-B40,Z60.2-Nom_Val*'Water Compressability'!C60-B40)))</f>
        <v/>
      </c>
      <c r="E40" s="126" t="str">
        <f t="shared" si="0"/>
        <v/>
      </c>
      <c r="G40"/>
      <c r="I40" s="83"/>
    </row>
    <row r="41" spans="1:9" ht="15.75">
      <c r="A41" s="97">
        <v>200</v>
      </c>
      <c r="B41" s="127" t="str">
        <f>IF(Z60.2="","",'LPG Prover Data Entry'!E95)</f>
        <v/>
      </c>
      <c r="C41" s="127" t="str">
        <f>IF(Z60.2="","",IF(Scale.Unit="Scale Graduations (in³)",($B$31-B41+('Water Compressability'!$D$39*Nom_Val*231)*((100-A41)/100)),IF(Scale.Unit="Scale Graduations (mL)",($B$31-B41+('Water Compressability'!$D$39*Nom_Val*1000)*((100-A41)/100)),($B$31-B41+('Water Compressability'!$D$39*Nom_Val)*((100-A41)/100)))))</f>
        <v/>
      </c>
      <c r="D41" s="127" t="str">
        <f>IF(Z60.2="","",IF(Scale.Unit="Scale Graduations (in³)",(Z60.2-Nom_Val*'Water Compressability'!C61)*231-B41,IF(Scale.Unit="Scale Graduations (mL)",(Z60.2-Nom_Val*'Water Compressability'!C61)*1000-B41,Z60.2-Nom_Val*'Water Compressability'!C61-B41)))</f>
        <v/>
      </c>
      <c r="E41" s="127" t="str">
        <f t="shared" si="0"/>
        <v/>
      </c>
      <c r="G41"/>
      <c r="I41" s="83"/>
    </row>
    <row r="42" spans="1:9" ht="15">
      <c r="A42" s="75" t="s">
        <v>144</v>
      </c>
      <c r="B42" s="24"/>
      <c r="C42" s="24"/>
      <c r="D42" s="24"/>
      <c r="E42" s="24"/>
      <c r="F42" s="24"/>
      <c r="I42" s="22"/>
    </row>
    <row r="43" spans="1:9" ht="15">
      <c r="A43" s="75" t="s">
        <v>73</v>
      </c>
      <c r="B43" s="24"/>
      <c r="C43" s="24"/>
      <c r="D43" s="24"/>
      <c r="E43" s="24"/>
      <c r="F43" s="24"/>
      <c r="I43" s="22"/>
    </row>
    <row r="44" spans="1:9"/>
    <row r="45" spans="1:9" hidden="1"/>
    <row r="46" spans="1:9" ht="15.75" hidden="1">
      <c r="C46"/>
    </row>
    <row r="47" spans="1:9" ht="15.75" hidden="1">
      <c r="C47"/>
    </row>
    <row r="48" spans="1:9" ht="15.75" hidden="1">
      <c r="C48"/>
    </row>
    <row r="49" spans="3:3" ht="15.75" hidden="1">
      <c r="C49"/>
    </row>
    <row r="50" spans="3:3" ht="15.75" hidden="1">
      <c r="C50"/>
    </row>
    <row r="51" spans="3:3" ht="15.75" hidden="1">
      <c r="C51"/>
    </row>
    <row r="52" spans="3:3" ht="15.75" hidden="1">
      <c r="C52"/>
    </row>
    <row r="53" spans="3:3" ht="15.75" hidden="1">
      <c r="C53"/>
    </row>
    <row r="54" spans="3:3" ht="15.75" hidden="1">
      <c r="C54"/>
    </row>
    <row r="55" spans="3:3" ht="15.75" hidden="1">
      <c r="C55"/>
    </row>
    <row r="56" spans="3:3" ht="15.75" hidden="1">
      <c r="C56"/>
    </row>
    <row r="57" spans="3:3" ht="15.75" hidden="1">
      <c r="C57"/>
    </row>
    <row r="58" spans="3:3" ht="15.75" hidden="1">
      <c r="C58"/>
    </row>
    <row r="59" spans="3:3" ht="15.75" hidden="1">
      <c r="C59"/>
    </row>
    <row r="60" spans="3:3" ht="15.75" hidden="1">
      <c r="C60"/>
    </row>
    <row r="61" spans="3:3" ht="15.75" hidden="1">
      <c r="C61"/>
    </row>
    <row r="62" spans="3:3" ht="15.75" hidden="1">
      <c r="C62"/>
    </row>
    <row r="63" spans="3:3" ht="15.75" hidden="1">
      <c r="C63"/>
    </row>
    <row r="64" spans="3:3" ht="15.75" hidden="1">
      <c r="C64"/>
    </row>
    <row r="65" spans="3:3" ht="15.75" hidden="1">
      <c r="C65"/>
    </row>
    <row r="66" spans="3:3" ht="15.75" hidden="1">
      <c r="C66"/>
    </row>
    <row r="67" spans="3:3" ht="15.75" hidden="1">
      <c r="C67"/>
    </row>
    <row r="68" spans="3:3" ht="15.75" hidden="1">
      <c r="C68"/>
    </row>
  </sheetData>
  <sheetProtection password="FFED" sheet="1" objects="1" scenarios="1" selectLockedCells="1" selectUnlockedCells="1"/>
  <mergeCells count="1">
    <mergeCell ref="C9:E9"/>
  </mergeCells>
  <phoneticPr fontId="19" type="noConversion"/>
  <pageMargins left="0.5" right="0.5" top="1.25" bottom="0.75" header="0.75" footer="0.5"/>
  <pageSetup scale="90" orientation="portrait" r:id="rId1"/>
  <headerFooter alignWithMargins="0">
    <oddHeader>&amp;L&amp;"Trebuchet MS,Regular"Calibration of LPG Provers&amp;R&amp;"Trebuchet MS,Regular"WAMRF-014, Rev. 21, 3/26/2010</oddHeader>
    <oddFooter>&amp;L&amp;"Trebuchet MS,Regular"&amp;F&amp;R&amp;"Trebuchet MS,Regular"&amp;A Worksheet Page &amp;P of &amp;N</oddFooter>
  </headerFooter>
  <legacyDrawing r:id="rId2"/>
  <oleObjects>
    <oleObject progId="Equation.3" shapeId="6157" r:id="rId3"/>
    <oleObject progId="Equation.3" shapeId="6160" r:id="rId4"/>
  </oleObjects>
</worksheet>
</file>

<file path=xl/worksheets/sheet9.xml><?xml version="1.0" encoding="utf-8"?>
<worksheet xmlns="http://schemas.openxmlformats.org/spreadsheetml/2006/main" xmlns:r="http://schemas.openxmlformats.org/officeDocument/2006/relationships">
  <sheetPr enableFormatConditionsCalculation="0">
    <tabColor indexed="20"/>
  </sheetPr>
  <dimension ref="A1:I66"/>
  <sheetViews>
    <sheetView showGridLines="0" zoomScaleNormal="100" workbookViewId="0"/>
  </sheetViews>
  <sheetFormatPr defaultColWidth="0" defaultRowHeight="15.75" zeroHeight="1"/>
  <cols>
    <col min="1" max="5" width="15.77734375" style="101" customWidth="1"/>
    <col min="6" max="6" width="1.77734375" style="101" customWidth="1"/>
    <col min="7" max="7" width="15.44140625" style="101" hidden="1" customWidth="1"/>
    <col min="8" max="16384" width="8" style="101" hidden="1"/>
  </cols>
  <sheetData>
    <row r="1" spans="1:5" ht="19.5" customHeight="1" thickBot="1">
      <c r="A1" s="100" t="s">
        <v>104</v>
      </c>
      <c r="B1" s="100"/>
      <c r="C1" s="100"/>
      <c r="D1" s="100"/>
      <c r="E1" s="94" t="str">
        <f>IF(ISBLANK(RptNo),"","Report Number: "&amp;RptNo)</f>
        <v/>
      </c>
    </row>
    <row r="2" spans="1:5" ht="12" customHeight="1"/>
    <row r="3" spans="1:5" ht="17.25" thickBot="1">
      <c r="A3" s="102" t="s">
        <v>135</v>
      </c>
      <c r="B3" s="103"/>
      <c r="C3" s="103"/>
      <c r="D3" s="103"/>
      <c r="E3" s="103"/>
    </row>
    <row r="4" spans="1:5" ht="48" customHeight="1">
      <c r="A4" s="653" t="s">
        <v>132</v>
      </c>
      <c r="B4" s="653"/>
      <c r="C4" s="653"/>
      <c r="D4" s="653"/>
      <c r="E4" s="653"/>
    </row>
    <row r="5" spans="1:5" ht="17.25">
      <c r="A5" s="108" t="s">
        <v>124</v>
      </c>
      <c r="B5" s="109" t="s">
        <v>133</v>
      </c>
      <c r="C5"/>
      <c r="D5"/>
      <c r="E5"/>
    </row>
    <row r="6" spans="1:5">
      <c r="A6" s="108" t="s">
        <v>124</v>
      </c>
      <c r="B6" s="118" t="str">
        <f>IF(D34="","",0.0000005083101-0.00000000368293*D34+0.00000000007263725*D34^2-0.0000000000006597702*D34^3+2.87767E-15*D34^4)</f>
        <v/>
      </c>
      <c r="C6" s="124"/>
      <c r="D6" s="124"/>
      <c r="E6" s="124"/>
    </row>
    <row r="7" spans="1:5">
      <c r="A7" s="108"/>
      <c r="B7" s="118"/>
      <c r="C7" s="124"/>
      <c r="D7" s="124"/>
      <c r="E7" s="124"/>
    </row>
    <row r="8" spans="1:5">
      <c r="A8" s="129" t="s">
        <v>38</v>
      </c>
      <c r="B8" s="105"/>
      <c r="C8" s="124"/>
      <c r="D8" s="124"/>
      <c r="E8" s="124"/>
    </row>
    <row r="9" spans="1:5">
      <c r="B9" s="130" t="s">
        <v>122</v>
      </c>
      <c r="C9" s="124"/>
      <c r="D9" s="124"/>
      <c r="E9" s="124"/>
    </row>
    <row r="10" spans="1:5">
      <c r="A10" s="109"/>
      <c r="B10" s="124"/>
      <c r="C10" s="124"/>
      <c r="D10" s="124"/>
      <c r="E10" s="124"/>
    </row>
    <row r="11" spans="1:5" ht="16.5">
      <c r="A11" s="132" t="s">
        <v>136</v>
      </c>
      <c r="B11" s="133"/>
      <c r="C11" s="133"/>
      <c r="D11" s="133"/>
      <c r="E11" s="133"/>
    </row>
    <row r="12" spans="1:5">
      <c r="A12" s="108" t="s">
        <v>125</v>
      </c>
      <c r="B12" s="118" t="str">
        <f>IF(B6="","",B6*D36/1000)</f>
        <v/>
      </c>
      <c r="C12" s="124"/>
      <c r="D12" s="124"/>
      <c r="E12" s="124"/>
    </row>
    <row r="13" spans="1:5" ht="15.75" customHeight="1">
      <c r="A13" s="655" t="s">
        <v>137</v>
      </c>
      <c r="B13" s="655"/>
      <c r="C13" s="655"/>
      <c r="D13" s="655"/>
      <c r="E13" s="655"/>
    </row>
    <row r="14" spans="1:5" ht="12" customHeight="1">
      <c r="A14" s="134"/>
      <c r="B14" s="134"/>
      <c r="C14" s="134"/>
      <c r="D14" s="134"/>
      <c r="E14" s="134"/>
    </row>
    <row r="15" spans="1:5" ht="16.5">
      <c r="A15" s="132" t="s">
        <v>130</v>
      </c>
      <c r="B15" s="135"/>
      <c r="C15" s="135"/>
      <c r="D15" s="135"/>
      <c r="E15" s="135"/>
    </row>
    <row r="16" spans="1:5" ht="16.5">
      <c r="A16" s="131" t="s">
        <v>138</v>
      </c>
      <c r="B16" s="105"/>
    </row>
    <row r="17" spans="1:5" ht="12" customHeight="1">
      <c r="A17" s="104"/>
      <c r="B17" s="104"/>
      <c r="C17" s="104"/>
      <c r="D17" s="104"/>
      <c r="E17" s="104"/>
    </row>
    <row r="18" spans="1:5" ht="16.5">
      <c r="A18" s="132" t="s">
        <v>129</v>
      </c>
      <c r="B18" s="136"/>
      <c r="C18" s="135"/>
      <c r="D18" s="135"/>
      <c r="E18" s="135"/>
    </row>
    <row r="19" spans="1:5" ht="16.5">
      <c r="A19" s="131" t="s">
        <v>120</v>
      </c>
      <c r="B19" s="106"/>
      <c r="C19" s="105"/>
    </row>
    <row r="20" spans="1:5" ht="12" customHeight="1">
      <c r="A20" s="104"/>
      <c r="B20" s="104"/>
      <c r="C20" s="104"/>
      <c r="D20" s="104"/>
      <c r="E20" s="104"/>
    </row>
    <row r="21" spans="1:5">
      <c r="A21" s="107" t="s">
        <v>38</v>
      </c>
      <c r="B21" s="105"/>
      <c r="C21" s="105"/>
    </row>
    <row r="22" spans="1:5">
      <c r="A22" s="108" t="s">
        <v>105</v>
      </c>
      <c r="B22" s="109" t="s">
        <v>178</v>
      </c>
      <c r="C22" s="105"/>
    </row>
    <row r="23" spans="1:5">
      <c r="A23" s="108" t="s">
        <v>121</v>
      </c>
      <c r="B23" s="109" t="s">
        <v>106</v>
      </c>
      <c r="C23" s="105"/>
    </row>
    <row r="24" spans="1:5">
      <c r="A24" s="108" t="s">
        <v>107</v>
      </c>
      <c r="B24" s="109" t="s">
        <v>108</v>
      </c>
      <c r="C24" s="105"/>
    </row>
    <row r="25" spans="1:5" ht="12" customHeight="1">
      <c r="A25" s="104"/>
      <c r="B25" s="104"/>
      <c r="C25" s="104"/>
      <c r="D25" s="104"/>
      <c r="E25" s="104"/>
    </row>
    <row r="26" spans="1:5" ht="17.25" thickBot="1">
      <c r="A26" s="102" t="s">
        <v>109</v>
      </c>
      <c r="B26" s="110"/>
      <c r="C26" s="111"/>
      <c r="D26" s="103"/>
      <c r="E26" s="103"/>
    </row>
    <row r="27" spans="1:5" ht="16.5">
      <c r="A27" s="660" t="s">
        <v>110</v>
      </c>
      <c r="B27" s="660"/>
      <c r="C27" s="392" t="s">
        <v>111</v>
      </c>
      <c r="D27" s="392" t="s">
        <v>112</v>
      </c>
    </row>
    <row r="28" spans="1:5" ht="16.5">
      <c r="A28" s="654" t="s">
        <v>113</v>
      </c>
      <c r="B28" s="654"/>
      <c r="C28" s="112" t="s">
        <v>114</v>
      </c>
      <c r="D28" s="113">
        <v>101325</v>
      </c>
    </row>
    <row r="29" spans="1:5" ht="16.5">
      <c r="A29" s="661" t="s">
        <v>123</v>
      </c>
      <c r="B29" s="661"/>
      <c r="C29" s="114" t="s">
        <v>115</v>
      </c>
      <c r="D29" s="115">
        <v>6894.7569999999996</v>
      </c>
    </row>
    <row r="30" spans="1:5" ht="16.5">
      <c r="A30" s="654" t="s">
        <v>116</v>
      </c>
      <c r="B30" s="654"/>
      <c r="C30" s="112" t="s">
        <v>115</v>
      </c>
      <c r="D30" s="116">
        <v>133.322</v>
      </c>
    </row>
    <row r="31" spans="1:5" ht="12" customHeight="1">
      <c r="A31" s="104"/>
      <c r="B31" s="104"/>
      <c r="C31" s="104"/>
      <c r="D31" s="104"/>
      <c r="E31" s="104"/>
    </row>
    <row r="32" spans="1:5" ht="17.25" thickBot="1">
      <c r="A32" s="102" t="s">
        <v>117</v>
      </c>
      <c r="B32" s="117"/>
      <c r="C32" s="111"/>
      <c r="D32" s="103"/>
      <c r="E32" s="103"/>
    </row>
    <row r="33" spans="1:9">
      <c r="A33" s="649" t="str">
        <f>NomValUnit&amp;" ="</f>
        <v>Nominal Volume (gal) =</v>
      </c>
      <c r="B33" s="650"/>
      <c r="C33" s="650"/>
      <c r="D33" s="393" t="str">
        <f>IF(ISBLANK(Nom_Val),"",Nom_Val)</f>
        <v/>
      </c>
    </row>
    <row r="34" spans="1:9">
      <c r="A34" s="651" t="s">
        <v>265</v>
      </c>
      <c r="B34" s="652"/>
      <c r="C34" s="652"/>
      <c r="D34" s="394" t="str">
        <f>IF(ISBLANK(RefT),"",IF(RefTempUnit="Designated Reference Temperature For This Calibration (ºF)",(RefT-32)/1.8,RefT))</f>
        <v/>
      </c>
    </row>
    <row r="35" spans="1:9">
      <c r="A35" s="651" t="s">
        <v>134</v>
      </c>
      <c r="B35" s="652"/>
      <c r="C35" s="652"/>
      <c r="D35" s="395" t="str">
        <f>IF(ISBLANK(mmHg),"",mmHg)</f>
        <v/>
      </c>
    </row>
    <row r="36" spans="1:9">
      <c r="A36" s="658" t="s">
        <v>126</v>
      </c>
      <c r="B36" s="659"/>
      <c r="C36" s="659"/>
      <c r="D36" s="394" t="str">
        <f>IF(D35="","",D35*D30)</f>
        <v/>
      </c>
    </row>
    <row r="37" spans="1:9" ht="12" customHeight="1">
      <c r="A37" s="104"/>
      <c r="B37" s="104"/>
      <c r="C37" s="104"/>
      <c r="D37" s="104"/>
      <c r="E37" s="104"/>
    </row>
    <row r="38" spans="1:9" ht="16.5">
      <c r="A38" s="163" t="s">
        <v>131</v>
      </c>
      <c r="B38" s="164"/>
      <c r="C38" s="165"/>
      <c r="D38" s="166"/>
      <c r="E38" s="166"/>
    </row>
    <row r="39" spans="1:9" ht="16.5">
      <c r="A39" s="656" t="str">
        <f>IF(NomValUnit="Nominal Volume (L)","Compressability Value per liter at "&amp;mmHg&amp;" mmHg =","Compressability Value per gallon at "&amp;mmHg&amp;" mmHg =")</f>
        <v>Compressability Value per gallon at  mmHg =</v>
      </c>
      <c r="B39" s="657"/>
      <c r="C39" s="657"/>
      <c r="D39" s="396" t="str">
        <f>IF(B12="","",$B$12*B51)</f>
        <v/>
      </c>
      <c r="E39" s="397"/>
    </row>
    <row r="40" spans="1:9">
      <c r="A40" s="398" t="s">
        <v>118</v>
      </c>
      <c r="B40" s="399" t="s">
        <v>119</v>
      </c>
      <c r="C40" s="399" t="s">
        <v>128</v>
      </c>
      <c r="D40" s="399" t="str">
        <f>IF(NomValUnit="Nominal Volume (L)","Wcv (mL)","Wcv (in³)")</f>
        <v>Wcv (in³)</v>
      </c>
      <c r="E40" s="400" t="str">
        <f>IF(NomValUnit="Nominal Volume (L)","Wcv (L)","Wcv (gal)")</f>
        <v>Wcv (gal)</v>
      </c>
      <c r="F40" s="105"/>
      <c r="G40" s="105"/>
      <c r="H40" s="105"/>
      <c r="I40" s="105"/>
    </row>
    <row r="41" spans="1:9">
      <c r="A41" s="167">
        <v>0</v>
      </c>
      <c r="B41" s="138">
        <f>A41*$D$29/$D$28</f>
        <v>0</v>
      </c>
      <c r="C41" s="138" t="str">
        <f>IF($B$12="","",1+$B$12*B41)</f>
        <v/>
      </c>
      <c r="D41" s="138" t="str">
        <f t="shared" ref="D41:D61" si="0">IF($D$33="","",IF(NomValUnit="Nominal Volume (gal)",$D$33*231*$B$12*B41,$D$33*1000*$B$12*B41))</f>
        <v/>
      </c>
      <c r="E41" s="281" t="str">
        <f t="shared" ref="E41:E61" si="1">IF(Nom_Val="","",IF(NomValUnit="Nominal Volume (gal)",D41/231,D41/1000))</f>
        <v/>
      </c>
      <c r="F41" s="105"/>
      <c r="G41" s="105"/>
      <c r="H41" s="105"/>
      <c r="I41" s="105"/>
    </row>
    <row r="42" spans="1:9">
      <c r="A42" s="168">
        <v>10</v>
      </c>
      <c r="B42" s="128">
        <f>A42*$D$29/$D$28</f>
        <v>0.68045961016530954</v>
      </c>
      <c r="C42" s="128" t="str">
        <f t="shared" ref="C42:C61" si="2">IF($B$12="","",1+$B$12*B42)</f>
        <v/>
      </c>
      <c r="D42" s="128" t="str">
        <f t="shared" si="0"/>
        <v/>
      </c>
      <c r="E42" s="174" t="str">
        <f t="shared" si="1"/>
        <v/>
      </c>
      <c r="G42" s="105"/>
      <c r="H42" s="105"/>
      <c r="I42" s="120"/>
    </row>
    <row r="43" spans="1:9">
      <c r="A43" s="169">
        <v>20</v>
      </c>
      <c r="B43" s="121">
        <f t="shared" ref="B43:B61" si="3">A43*$D$29/$D$28</f>
        <v>1.3609192203306191</v>
      </c>
      <c r="C43" s="121" t="str">
        <f t="shared" si="2"/>
        <v/>
      </c>
      <c r="D43" s="121" t="str">
        <f t="shared" si="0"/>
        <v/>
      </c>
      <c r="E43" s="175" t="str">
        <f t="shared" si="1"/>
        <v/>
      </c>
      <c r="G43" s="105"/>
      <c r="H43" s="105"/>
      <c r="I43" s="105"/>
    </row>
    <row r="44" spans="1:9">
      <c r="A44" s="170">
        <v>30</v>
      </c>
      <c r="B44" s="119">
        <f t="shared" si="3"/>
        <v>2.0413788304959288</v>
      </c>
      <c r="C44" s="119" t="str">
        <f t="shared" si="2"/>
        <v/>
      </c>
      <c r="D44" s="119" t="str">
        <f t="shared" si="0"/>
        <v/>
      </c>
      <c r="E44" s="176" t="str">
        <f t="shared" si="1"/>
        <v/>
      </c>
      <c r="G44" s="105"/>
      <c r="H44" s="105"/>
      <c r="I44" s="105"/>
    </row>
    <row r="45" spans="1:9">
      <c r="A45" s="169">
        <v>40</v>
      </c>
      <c r="B45" s="121">
        <f t="shared" si="3"/>
        <v>2.7218384406612381</v>
      </c>
      <c r="C45" s="121" t="str">
        <f t="shared" si="2"/>
        <v/>
      </c>
      <c r="D45" s="121" t="str">
        <f t="shared" si="0"/>
        <v/>
      </c>
      <c r="E45" s="175" t="str">
        <f t="shared" si="1"/>
        <v/>
      </c>
      <c r="G45" s="105"/>
      <c r="H45" s="105"/>
      <c r="I45" s="105"/>
    </row>
    <row r="46" spans="1:9">
      <c r="A46" s="170">
        <v>50</v>
      </c>
      <c r="B46" s="119">
        <f t="shared" si="3"/>
        <v>3.4022980508265479</v>
      </c>
      <c r="C46" s="119" t="str">
        <f t="shared" si="2"/>
        <v/>
      </c>
      <c r="D46" s="119" t="str">
        <f t="shared" si="0"/>
        <v/>
      </c>
      <c r="E46" s="176" t="str">
        <f t="shared" si="1"/>
        <v/>
      </c>
      <c r="G46" s="105"/>
      <c r="H46" s="105"/>
      <c r="I46" s="105"/>
    </row>
    <row r="47" spans="1:9">
      <c r="A47" s="169">
        <v>60</v>
      </c>
      <c r="B47" s="121">
        <f t="shared" si="3"/>
        <v>4.0827576609918577</v>
      </c>
      <c r="C47" s="121" t="str">
        <f t="shared" si="2"/>
        <v/>
      </c>
      <c r="D47" s="121" t="str">
        <f t="shared" si="0"/>
        <v/>
      </c>
      <c r="E47" s="175" t="str">
        <f t="shared" si="1"/>
        <v/>
      </c>
      <c r="G47" s="105"/>
      <c r="H47" s="105"/>
      <c r="I47" s="105"/>
    </row>
    <row r="48" spans="1:9">
      <c r="A48" s="170">
        <v>70</v>
      </c>
      <c r="B48" s="119">
        <f t="shared" si="3"/>
        <v>4.7632172711571679</v>
      </c>
      <c r="C48" s="119" t="str">
        <f t="shared" si="2"/>
        <v/>
      </c>
      <c r="D48" s="119" t="str">
        <f t="shared" si="0"/>
        <v/>
      </c>
      <c r="E48" s="176" t="str">
        <f t="shared" si="1"/>
        <v/>
      </c>
      <c r="G48" s="105"/>
      <c r="H48" s="105"/>
      <c r="I48" s="105"/>
    </row>
    <row r="49" spans="1:9">
      <c r="A49" s="169">
        <v>80</v>
      </c>
      <c r="B49" s="121">
        <f t="shared" si="3"/>
        <v>5.4436768813224763</v>
      </c>
      <c r="C49" s="121" t="str">
        <f t="shared" si="2"/>
        <v/>
      </c>
      <c r="D49" s="121" t="str">
        <f t="shared" si="0"/>
        <v/>
      </c>
      <c r="E49" s="175" t="str">
        <f t="shared" si="1"/>
        <v/>
      </c>
      <c r="G49" s="105"/>
      <c r="H49" s="105"/>
      <c r="I49" s="105"/>
    </row>
    <row r="50" spans="1:9">
      <c r="A50" s="170">
        <v>90</v>
      </c>
      <c r="B50" s="119">
        <f t="shared" si="3"/>
        <v>6.1241364914877865</v>
      </c>
      <c r="C50" s="119" t="str">
        <f t="shared" si="2"/>
        <v/>
      </c>
      <c r="D50" s="119" t="str">
        <f t="shared" si="0"/>
        <v/>
      </c>
      <c r="E50" s="176" t="str">
        <f t="shared" si="1"/>
        <v/>
      </c>
      <c r="G50" s="105"/>
      <c r="H50" s="105"/>
      <c r="I50" s="105"/>
    </row>
    <row r="51" spans="1:9">
      <c r="A51" s="169">
        <v>100</v>
      </c>
      <c r="B51" s="121">
        <f t="shared" si="3"/>
        <v>6.8045961016530958</v>
      </c>
      <c r="C51" s="121" t="str">
        <f t="shared" si="2"/>
        <v/>
      </c>
      <c r="D51" s="121" t="str">
        <f t="shared" si="0"/>
        <v/>
      </c>
      <c r="E51" s="175" t="str">
        <f t="shared" si="1"/>
        <v/>
      </c>
      <c r="G51" s="105"/>
      <c r="H51" s="105"/>
      <c r="I51" s="105"/>
    </row>
    <row r="52" spans="1:9">
      <c r="A52" s="170">
        <v>110</v>
      </c>
      <c r="B52" s="119">
        <f t="shared" si="3"/>
        <v>7.4850557118184051</v>
      </c>
      <c r="C52" s="119" t="str">
        <f t="shared" si="2"/>
        <v/>
      </c>
      <c r="D52" s="119" t="str">
        <f t="shared" si="0"/>
        <v/>
      </c>
      <c r="E52" s="176" t="str">
        <f t="shared" si="1"/>
        <v/>
      </c>
      <c r="G52" s="105"/>
      <c r="H52" s="105"/>
      <c r="I52" s="105"/>
    </row>
    <row r="53" spans="1:9">
      <c r="A53" s="169">
        <v>120</v>
      </c>
      <c r="B53" s="121">
        <f t="shared" si="3"/>
        <v>8.1655153219837153</v>
      </c>
      <c r="C53" s="121" t="str">
        <f t="shared" si="2"/>
        <v/>
      </c>
      <c r="D53" s="121" t="str">
        <f t="shared" si="0"/>
        <v/>
      </c>
      <c r="E53" s="175" t="str">
        <f t="shared" si="1"/>
        <v/>
      </c>
      <c r="G53" s="105"/>
      <c r="H53" s="105"/>
      <c r="I53" s="105"/>
    </row>
    <row r="54" spans="1:9">
      <c r="A54" s="170">
        <v>130</v>
      </c>
      <c r="B54" s="119">
        <f t="shared" si="3"/>
        <v>8.8459749321490246</v>
      </c>
      <c r="C54" s="119" t="str">
        <f t="shared" si="2"/>
        <v/>
      </c>
      <c r="D54" s="119" t="str">
        <f t="shared" si="0"/>
        <v/>
      </c>
      <c r="E54" s="176" t="str">
        <f t="shared" si="1"/>
        <v/>
      </c>
      <c r="G54" s="105"/>
      <c r="H54" s="105"/>
      <c r="I54" s="105"/>
    </row>
    <row r="55" spans="1:9">
      <c r="A55" s="169">
        <v>140</v>
      </c>
      <c r="B55" s="121">
        <f t="shared" si="3"/>
        <v>9.5264345423143357</v>
      </c>
      <c r="C55" s="121" t="str">
        <f t="shared" si="2"/>
        <v/>
      </c>
      <c r="D55" s="121" t="str">
        <f t="shared" si="0"/>
        <v/>
      </c>
      <c r="E55" s="175" t="str">
        <f t="shared" si="1"/>
        <v/>
      </c>
      <c r="G55" s="105"/>
      <c r="H55" s="105"/>
      <c r="I55" s="105"/>
    </row>
    <row r="56" spans="1:9">
      <c r="A56" s="170">
        <v>150</v>
      </c>
      <c r="B56" s="119">
        <f t="shared" si="3"/>
        <v>10.206894152479643</v>
      </c>
      <c r="C56" s="119" t="str">
        <f t="shared" si="2"/>
        <v/>
      </c>
      <c r="D56" s="119" t="str">
        <f t="shared" si="0"/>
        <v/>
      </c>
      <c r="E56" s="176" t="str">
        <f t="shared" si="1"/>
        <v/>
      </c>
      <c r="G56" s="105"/>
      <c r="H56" s="105"/>
      <c r="I56" s="105"/>
    </row>
    <row r="57" spans="1:9">
      <c r="A57" s="169">
        <v>160</v>
      </c>
      <c r="B57" s="121">
        <f t="shared" si="3"/>
        <v>10.887353762644953</v>
      </c>
      <c r="C57" s="121" t="str">
        <f t="shared" si="2"/>
        <v/>
      </c>
      <c r="D57" s="121" t="str">
        <f t="shared" si="0"/>
        <v/>
      </c>
      <c r="E57" s="175" t="str">
        <f t="shared" si="1"/>
        <v/>
      </c>
      <c r="G57" s="105"/>
      <c r="H57" s="105"/>
      <c r="I57" s="105"/>
    </row>
    <row r="58" spans="1:9">
      <c r="A58" s="171">
        <v>170</v>
      </c>
      <c r="B58" s="122">
        <f t="shared" si="3"/>
        <v>11.567813372810264</v>
      </c>
      <c r="C58" s="122" t="str">
        <f t="shared" si="2"/>
        <v/>
      </c>
      <c r="D58" s="122" t="str">
        <f t="shared" si="0"/>
        <v/>
      </c>
      <c r="E58" s="177" t="str">
        <f t="shared" si="1"/>
        <v/>
      </c>
      <c r="G58" s="105"/>
      <c r="H58" s="105"/>
      <c r="I58" s="105"/>
    </row>
    <row r="59" spans="1:9">
      <c r="A59" s="169">
        <v>180</v>
      </c>
      <c r="B59" s="121">
        <f t="shared" si="3"/>
        <v>12.248272982975573</v>
      </c>
      <c r="C59" s="121" t="str">
        <f t="shared" si="2"/>
        <v/>
      </c>
      <c r="D59" s="121" t="str">
        <f t="shared" si="0"/>
        <v/>
      </c>
      <c r="E59" s="175" t="str">
        <f t="shared" si="1"/>
        <v/>
      </c>
      <c r="G59" s="105"/>
      <c r="H59" s="105"/>
      <c r="I59" s="105"/>
    </row>
    <row r="60" spans="1:9">
      <c r="A60" s="170">
        <v>190</v>
      </c>
      <c r="B60" s="119">
        <f t="shared" si="3"/>
        <v>12.928732593140882</v>
      </c>
      <c r="C60" s="119" t="str">
        <f t="shared" si="2"/>
        <v/>
      </c>
      <c r="D60" s="119" t="str">
        <f t="shared" si="0"/>
        <v/>
      </c>
      <c r="E60" s="176" t="str">
        <f t="shared" si="1"/>
        <v/>
      </c>
      <c r="G60" s="105"/>
      <c r="H60" s="105"/>
      <c r="I60" s="105"/>
    </row>
    <row r="61" spans="1:9">
      <c r="A61" s="172">
        <v>200</v>
      </c>
      <c r="B61" s="173">
        <f t="shared" si="3"/>
        <v>13.609192203306192</v>
      </c>
      <c r="C61" s="173" t="str">
        <f t="shared" si="2"/>
        <v/>
      </c>
      <c r="D61" s="173" t="str">
        <f t="shared" si="0"/>
        <v/>
      </c>
      <c r="E61" s="178" t="str">
        <f t="shared" si="1"/>
        <v/>
      </c>
      <c r="G61" s="105"/>
      <c r="H61" s="105"/>
      <c r="I61" s="105"/>
    </row>
    <row r="62" spans="1:9"/>
    <row r="63" spans="1:9" hidden="1"/>
    <row r="64" spans="1:9" hidden="1"/>
    <row r="65" spans="5:5" hidden="1">
      <c r="E65" s="123"/>
    </row>
    <row r="66" spans="5:5" hidden="1"/>
  </sheetData>
  <sheetProtection password="FFED" sheet="1" objects="1" scenarios="1" selectLockedCells="1" selectUnlockedCells="1"/>
  <mergeCells count="11">
    <mergeCell ref="A39:C39"/>
    <mergeCell ref="A36:C36"/>
    <mergeCell ref="A27:B27"/>
    <mergeCell ref="A28:B28"/>
    <mergeCell ref="A29:B29"/>
    <mergeCell ref="A33:C33"/>
    <mergeCell ref="A34:C34"/>
    <mergeCell ref="A35:C35"/>
    <mergeCell ref="A4:E4"/>
    <mergeCell ref="A30:B30"/>
    <mergeCell ref="A13:E13"/>
  </mergeCells>
  <phoneticPr fontId="51" type="noConversion"/>
  <printOptions horizontalCentered="1"/>
  <pageMargins left="0.5" right="0.5" top="1.25" bottom="0.75" header="0.75" footer="0.5"/>
  <pageSetup orientation="portrait" verticalDpi="300" r:id="rId1"/>
  <headerFooter alignWithMargins="0">
    <oddHeader>&amp;L&amp;"Trebuchet MS,Regular"Calibration of LPG Provers&amp;R&amp;"Trebuchet MS,Regular"WAMRF-014, Rev. 21, 3/26/2010</oddHeader>
    <oddFooter>&amp;L&amp;"Trebuchet MS,Regular"&amp;F&amp;R&amp;"Trebuchet MS,Regular"&amp;A Worksheet Page &amp;P of &amp;N</oddFooter>
  </headerFooter>
  <rowBreaks count="1" manualBreakCount="1">
    <brk id="3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93</vt:i4>
      </vt:variant>
    </vt:vector>
  </HeadingPairs>
  <TitlesOfParts>
    <vt:vector size="104" baseType="lpstr">
      <vt:lpstr>Documentation</vt:lpstr>
      <vt:lpstr>Information</vt:lpstr>
      <vt:lpstr>Report Pages 1-3</vt:lpstr>
      <vt:lpstr>Report Pages 4-5</vt:lpstr>
      <vt:lpstr>Control Data</vt:lpstr>
      <vt:lpstr>LPG Prover Data Entry</vt:lpstr>
      <vt:lpstr>Calculations</vt:lpstr>
      <vt:lpstr>Pressure Corrections</vt:lpstr>
      <vt:lpstr>Water Compressability</vt:lpstr>
      <vt:lpstr>Uncertainty Analysis</vt:lpstr>
      <vt:lpstr>Tables &amp; Lists</vt:lpstr>
      <vt:lpstr>_unc1</vt:lpstr>
      <vt:lpstr>_unc2</vt:lpstr>
      <vt:lpstr>_unc3</vt:lpstr>
      <vt:lpstr>_unc4</vt:lpstr>
      <vt:lpstr>a_1</vt:lpstr>
      <vt:lpstr>a_2</vt:lpstr>
      <vt:lpstr>a_3</vt:lpstr>
      <vt:lpstr>a_4</vt:lpstr>
      <vt:lpstr>Address_1</vt:lpstr>
      <vt:lpstr>AirTemp</vt:lpstr>
      <vt:lpstr>AirTemp_F</vt:lpstr>
      <vt:lpstr>answer.list</vt:lpstr>
      <vt:lpstr>AsFound</vt:lpstr>
      <vt:lpstr>AsLeft</vt:lpstr>
      <vt:lpstr>B</vt:lpstr>
      <vt:lpstr>Cal_Date</vt:lpstr>
      <vt:lpstr>CCE.Table</vt:lpstr>
      <vt:lpstr>Condition</vt:lpstr>
      <vt:lpstr>CustomerID</vt:lpstr>
      <vt:lpstr>d2.Table</vt:lpstr>
      <vt:lpstr>Description</vt:lpstr>
      <vt:lpstr>drops1</vt:lpstr>
      <vt:lpstr>drops2</vt:lpstr>
      <vt:lpstr>drops3</vt:lpstr>
      <vt:lpstr>drops4</vt:lpstr>
      <vt:lpstr>grads1</vt:lpstr>
      <vt:lpstr>grads2</vt:lpstr>
      <vt:lpstr>grads3</vt:lpstr>
      <vt:lpstr>grads4</vt:lpstr>
      <vt:lpstr>Humidity</vt:lpstr>
      <vt:lpstr>Humidity_F</vt:lpstr>
      <vt:lpstr>increment</vt:lpstr>
      <vt:lpstr>interval</vt:lpstr>
      <vt:lpstr>intervalQ</vt:lpstr>
      <vt:lpstr>k_1</vt:lpstr>
      <vt:lpstr>k_2</vt:lpstr>
      <vt:lpstr>k_3</vt:lpstr>
      <vt:lpstr>k_4</vt:lpstr>
      <vt:lpstr>Material</vt:lpstr>
      <vt:lpstr>Material.list</vt:lpstr>
      <vt:lpstr>MFG</vt:lpstr>
      <vt:lpstr>mmHg</vt:lpstr>
      <vt:lpstr>Nom_Val</vt:lpstr>
      <vt:lpstr>NomVal.list</vt:lpstr>
      <vt:lpstr>NomValUnit</vt:lpstr>
      <vt:lpstr>NVLAP</vt:lpstr>
      <vt:lpstr>PO.No</vt:lpstr>
      <vt:lpstr>POC.Name</vt:lpstr>
      <vt:lpstr>POC.Phone</vt:lpstr>
      <vt:lpstr>PooledSD</vt:lpstr>
      <vt:lpstr>Calculations!Print_Area</vt:lpstr>
      <vt:lpstr>'LPG Prover Data Entry'!Print_Area</vt:lpstr>
      <vt:lpstr>'Report Pages 1-3'!Print_Area</vt:lpstr>
      <vt:lpstr>'Water Compressability'!Print_Area</vt:lpstr>
      <vt:lpstr>Calculations!Print_Titles</vt:lpstr>
      <vt:lpstr>Documentation!Print_Titles</vt:lpstr>
      <vt:lpstr>Information!Print_Titles</vt:lpstr>
      <vt:lpstr>'LPG Prover Data Entry'!Print_Titles</vt:lpstr>
      <vt:lpstr>'Report Pages 4-5'!Print_Titles</vt:lpstr>
      <vt:lpstr>'Tables &amp; Lists'!Print_Titles</vt:lpstr>
      <vt:lpstr>'Water Compressability'!Print_Titles</vt:lpstr>
      <vt:lpstr>ProverTempCorr</vt:lpstr>
      <vt:lpstr>Range.Unit</vt:lpstr>
      <vt:lpstr>RangeMean.list</vt:lpstr>
      <vt:lpstr>RefT</vt:lpstr>
      <vt:lpstr>RefTemp.list</vt:lpstr>
      <vt:lpstr>RefTempUnit</vt:lpstr>
      <vt:lpstr>ReportedUnc</vt:lpstr>
      <vt:lpstr>Rmean</vt:lpstr>
      <vt:lpstr>Rnd.Factor</vt:lpstr>
      <vt:lpstr>Rnd.Table</vt:lpstr>
      <vt:lpstr>RptNo</vt:lpstr>
      <vt:lpstr>Scale.list</vt:lpstr>
      <vt:lpstr>Scale.Unit</vt:lpstr>
      <vt:lpstr>SealNoBottom</vt:lpstr>
      <vt:lpstr>SealNoTop</vt:lpstr>
      <vt:lpstr>SN</vt:lpstr>
      <vt:lpstr>Standards.Table</vt:lpstr>
      <vt:lpstr>StdTempCorr</vt:lpstr>
      <vt:lpstr>t_1</vt:lpstr>
      <vt:lpstr>t_2</vt:lpstr>
      <vt:lpstr>Tech</vt:lpstr>
      <vt:lpstr>Tolerance</vt:lpstr>
      <vt:lpstr>U60.1</vt:lpstr>
      <vt:lpstr>U60.2</vt:lpstr>
      <vt:lpstr>Unc</vt:lpstr>
      <vt:lpstr>V_1</vt:lpstr>
      <vt:lpstr>V_2</vt:lpstr>
      <vt:lpstr>V_3</vt:lpstr>
      <vt:lpstr>V_4</vt:lpstr>
      <vt:lpstr>WODate</vt:lpstr>
      <vt:lpstr>Z60.1</vt:lpstr>
      <vt:lpstr>Z60.2</vt:lpstr>
    </vt:vector>
  </TitlesOfParts>
  <Company>WSDA Metrology Laboratory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Volume Transfer, LPG Prover</dc:title>
  <dc:subject>NIST HB 145, SOP 21</dc:subject>
  <dc:creator>vmiller1</dc:creator>
  <dc:description/>
  <cp:lastModifiedBy>vmiller1</cp:lastModifiedBy>
  <cp:lastPrinted>2009-10-30T20:26:26Z</cp:lastPrinted>
  <dcterms:created xsi:type="dcterms:W3CDTF">2000-04-27T22:54:34Z</dcterms:created>
  <dcterms:modified xsi:type="dcterms:W3CDTF">2010-12-01T18:14:29Z</dcterms:modified>
</cp:coreProperties>
</file>