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2_0.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295" windowHeight="6735" tabRatio="934" activeTab="3"/>
  </bookViews>
  <sheets>
    <sheet name="Software Technical Assessment" sheetId="1" r:id="rId1"/>
    <sheet name="Documentation" sheetId="2" r:id="rId2"/>
    <sheet name="SOP 33" sheetId="3" r:id="rId3"/>
    <sheet name="Instructions" sheetId="4" r:id="rId4"/>
    <sheet name="Report Pages 1-3" sheetId="5" r:id="rId5"/>
    <sheet name="Inspection Checklist" sheetId="6" r:id="rId6"/>
    <sheet name="Control Data" sheetId="7" r:id="rId7"/>
    <sheet name="Data Entry" sheetId="8" r:id="rId8"/>
    <sheet name="Calculations" sheetId="9" r:id="rId9"/>
    <sheet name="Uncertainty Analysis" sheetId="10" r:id="rId10"/>
    <sheet name="CIPM Air Density" sheetId="11" r:id="rId11"/>
    <sheet name="Tables and Lists" sheetId="12" r:id="rId12"/>
  </sheets>
  <externalReferences>
    <externalReference r:id="rId15"/>
    <externalReference r:id="rId16"/>
    <externalReference r:id="rId17"/>
    <externalReference r:id="rId18"/>
  </externalReferences>
  <definedNames>
    <definedName name="__123Graph_A" hidden="1">'[1]H145LPG'!$I$99:$I$118</definedName>
    <definedName name="__123Graph_B" hidden="1">'[1]H145LPG'!$J$99:$J$118</definedName>
    <definedName name="__123Graph_LBL_A" hidden="1">'[1]H145LPG'!$I$120:$I$120</definedName>
    <definedName name="__123Graph_LBL_B" hidden="1">'[1]H145LPG'!$J$120:$J$120</definedName>
    <definedName name="__123Graph_X" hidden="1">'[1]H145LPG'!$G$99:$G$118</definedName>
    <definedName name="_Fill" hidden="1">'[1]H145LPG'!$F$67:$F$73</definedName>
    <definedName name="_Table1_In1" localSheetId="10" hidden="1">#REF!</definedName>
    <definedName name="_Table1_In1" localSheetId="1" hidden="1">#REF!</definedName>
    <definedName name="_Table1_In1" localSheetId="5" hidden="1">#REF!</definedName>
    <definedName name="_Table1_In1" localSheetId="3" hidden="1">#REF!</definedName>
    <definedName name="_Table1_In1" localSheetId="4" hidden="1">#REF!</definedName>
    <definedName name="_Table1_In1" localSheetId="0" hidden="1">'[2]2 Liter'!$B$33</definedName>
    <definedName name="_Table1_In1" hidden="1">'[2]2 Liter'!$B$33</definedName>
    <definedName name="_Table1_Out" localSheetId="10" hidden="1">#REF!</definedName>
    <definedName name="_Table1_Out" localSheetId="1" hidden="1">#REF!</definedName>
    <definedName name="_Table1_Out" localSheetId="5" hidden="1">#REF!</definedName>
    <definedName name="_Table1_Out" localSheetId="3" hidden="1">#REF!</definedName>
    <definedName name="_Table1_Out" localSheetId="4" hidden="1">#REF!</definedName>
    <definedName name="_Table1_Out" localSheetId="0" hidden="1">'[2]2 Liter'!$B$33</definedName>
    <definedName name="_Table1_Out" hidden="1">'[2]2 Liter'!$B$33</definedName>
    <definedName name="_Table2_In1" localSheetId="1" hidden="1">'[3]2 Liter'!$B$33</definedName>
    <definedName name="_Table2_In1" localSheetId="5" hidden="1">'[4]2 Liter'!$B$33</definedName>
    <definedName name="_Table2_In1" localSheetId="3" hidden="1">'[3]2 Liter'!$B$33</definedName>
    <definedName name="_Table2_In1" localSheetId="4" hidden="1">'[4]2 Liter'!$B$33</definedName>
    <definedName name="_Table2_In1" hidden="1">'[2]2 Liter'!$B$33</definedName>
    <definedName name="_Table2_Out" localSheetId="1" hidden="1">'[3]2 Liter'!$B$33</definedName>
    <definedName name="_Table2_Out" localSheetId="5" hidden="1">'[4]2 Liter'!$B$33</definedName>
    <definedName name="_Table2_Out" localSheetId="3" hidden="1">'[3]2 Liter'!$B$33</definedName>
    <definedName name="_Table2_Out" localSheetId="4" hidden="1">'[4]2 Liter'!$B$33</definedName>
    <definedName name="_Table2_Out" hidden="1">'[2]2 Liter'!$B$33</definedName>
    <definedName name="_xlfn.BAHTTEXT" hidden="1">#NAME?</definedName>
    <definedName name="AF_CMx">'Calculations'!$H$9</definedName>
    <definedName name="AF_Cx">'Calculations'!$H$10</definedName>
    <definedName name="AL_CMx">'Calculations'!$H$17</definedName>
    <definedName name="AL_Cx">'Calculations'!$H$18</definedName>
    <definedName name="AVG_P">'CIPM Air Density'!$D$16</definedName>
    <definedName name="AVG_t">'CIPM Air Density'!$D$17</definedName>
    <definedName name="AVG_U">'CIPM Air Density'!$D$18</definedName>
    <definedName name="Balance">'Data Entry'!$E$16</definedName>
    <definedName name="BalID">'Data Entry'!$C$16</definedName>
    <definedName name="BalUnit">'Data Entry'!$J$16</definedName>
    <definedName name="Best_df">'Data Entry'!$H$19</definedName>
    <definedName name="Best_k">'Data Entry'!$J$19</definedName>
    <definedName name="Best_U">'Data Entry'!$E$19</definedName>
    <definedName name="Cal_Date">'Data Entry'!$C$21</definedName>
    <definedName name="CIPM_Pa">'CIPM Air Density'!$D$19</definedName>
    <definedName name="Condition">'Data Entry'!$C$14</definedName>
    <definedName name="Cs">'Data Entry'!$D$56</definedName>
    <definedName name="Csw">'Data Entry'!$D$60</definedName>
    <definedName name="CustomerID">'Data Entry'!$J$4</definedName>
    <definedName name="Description">'Data Entry'!$C$10</definedName>
    <definedName name="Final_k">'Uncertainty Analysis'!$I$50</definedName>
    <definedName name="Final_U">'Uncertainty Analysis'!$I$51</definedName>
    <definedName name="Final_Veff">'Uncertainty Analysis'!$I$49</definedName>
    <definedName name="ID">'Data Entry'!$C$13</definedName>
    <definedName name="Interval">'Data Entry'!$J$20</definedName>
    <definedName name="IntervalQ">'Data Entry'!$F$20</definedName>
    <definedName name="JobNo">'Data Entry'!$I$12</definedName>
    <definedName name="k">'Uncertainty Analysis'!$I$44</definedName>
    <definedName name="k_S">'Data Entry'!$H$56</definedName>
    <definedName name="k_sw">'Data Entry'!$H$60</definedName>
    <definedName name="MeasuredU">'Uncertainty Analysis'!$I$45</definedName>
    <definedName name="Mfg">'Data Entry'!$C$11</definedName>
    <definedName name="Mfg_Date">'Data Entry'!$I$11</definedName>
    <definedName name="Nx">'Data Entry'!$I$13</definedName>
    <definedName name="Obs1_1">'Data Entry'!$G$77</definedName>
    <definedName name="Obs1_2">'Data Entry'!$G$78</definedName>
    <definedName name="Obs1_3">'Data Entry'!$G$79</definedName>
    <definedName name="Obs1_4">'Data Entry'!$G$80</definedName>
    <definedName name="Obs2_1">'Data Entry'!$G$83</definedName>
    <definedName name="Obs2_2">'Data Entry'!$G$84</definedName>
    <definedName name="Obs2_3">'Data Entry'!$G$85</definedName>
    <definedName name="Obs2_4">'Data Entry'!$G$86</definedName>
    <definedName name="Obs3_1">'Data Entry'!$G$89</definedName>
    <definedName name="Obs3_2">'Data Entry'!$G$90</definedName>
    <definedName name="Obs3_3">'Data Entry'!$G$91</definedName>
    <definedName name="Obs3_4">'Data Entry'!$G$92</definedName>
    <definedName name="Obs4_1">'Data Entry'!$G$100</definedName>
    <definedName name="Obs4_2">'Data Entry'!$G$101</definedName>
    <definedName name="Obs4_3">'Data Entry'!$G$102</definedName>
    <definedName name="Obs4_4">'Data Entry'!$G$103</definedName>
    <definedName name="Obs5_1">'Data Entry'!$G$106</definedName>
    <definedName name="Obs5_2">'Data Entry'!$G$107</definedName>
    <definedName name="Obs5_3">'Data Entry'!$G$108</definedName>
    <definedName name="Obs5_4">'Data Entry'!$G$109</definedName>
    <definedName name="Obs6_1">'Data Entry'!$G$112</definedName>
    <definedName name="Obs6_2">'Data Entry'!$G$113</definedName>
    <definedName name="Obs6_3">'Data Entry'!$G$114</definedName>
    <definedName name="Obs6_4">'Data Entry'!$G$115</definedName>
    <definedName name="P">'CIPM Air Density'!$D$4</definedName>
    <definedName name="P_1">'Data Entry'!$G$75</definedName>
    <definedName name="P_1_left">'Data Entry'!$G$98</definedName>
    <definedName name="P_2">'Data Entry'!$G$93</definedName>
    <definedName name="P_2_left">'Data Entry'!$G$116</definedName>
    <definedName name="P_corr">'Data Entry'!$D$65</definedName>
    <definedName name="P_left">'CIPM Air Density'!$D$10</definedName>
    <definedName name="PO_No">'Data Entry'!$H$5</definedName>
    <definedName name="POC">'Data Entry'!$H$6</definedName>
    <definedName name="POC_Phone">'Data Entry'!$H$7</definedName>
    <definedName name="_xlnm.Print_Area" localSheetId="10">'CIPM Air Density'!$A$1:$E$19</definedName>
    <definedName name="_xlnm.Print_Area" localSheetId="4">'Report Pages 1-3'!$A$1:$G$90</definedName>
    <definedName name="_xlnm.Print_Area" localSheetId="0">'Software Technical Assessment'!$A$1:$D$49</definedName>
    <definedName name="_xlnm.Print_Area" localSheetId="11">'Tables and Lists'!$A$1:$B$8</definedName>
    <definedName name="_xlnm.Print_Area" localSheetId="9">'Uncertainty Analysis'!$A$1:$K$72</definedName>
    <definedName name="_xlnm.Print_Titles" localSheetId="8">'Calculations'!$1:$2</definedName>
    <definedName name="_xlnm.Print_Titles" localSheetId="7">'Data Entry'!$1:$2</definedName>
    <definedName name="_xlnm.Print_Titles" localSheetId="3">'Instructions'!$7:$8</definedName>
    <definedName name="_xlnm.Print_Titles" localSheetId="0">'Software Technical Assessment'!$1:$5</definedName>
    <definedName name="_xlnm.Print_Titles" localSheetId="9">'Uncertainty Analysis'!$1:$2</definedName>
    <definedName name="Ps">'Data Entry'!$J$56</definedName>
    <definedName name="Psw">'Data Entry'!$J$60</definedName>
    <definedName name="Px">'Data Entry'!$I$14</definedName>
    <definedName name="R_mean">'Data Entry'!$I$18</definedName>
    <definedName name="Receive_Date">'Data Entry'!$I$10</definedName>
    <definedName name="Resolution">'Data Entry'!$H$16</definedName>
    <definedName name="RptNo">'Data Entry'!$H$1</definedName>
    <definedName name="S">'Data Entry'!$B$56</definedName>
    <definedName name="S_df">'Data Entry'!$I$56</definedName>
    <definedName name="SealNo">'Data Entry'!$I$118</definedName>
    <definedName name="SN">'Data Entry'!$C$12</definedName>
    <definedName name="sp">'Data Entry'!$F$17</definedName>
    <definedName name="sp_df">'Data Entry'!$J$17</definedName>
    <definedName name="sp_unit">'Data Entry'!$A$17</definedName>
    <definedName name="StUnit">'Data Entry'!$A$17</definedName>
    <definedName name="sw">'Data Entry'!$B$60</definedName>
    <definedName name="sw_df">'Data Entry'!$I$60</definedName>
    <definedName name="t">'CIPM Air Density'!$D$5</definedName>
    <definedName name="t_1">'Data Entry'!$E$75</definedName>
    <definedName name="t_1_left">'Data Entry'!$E$98</definedName>
    <definedName name="t_2">'Data Entry'!$E$93</definedName>
    <definedName name="t_2_left">'Data Entry'!$E$116</definedName>
    <definedName name="t_corr">'Data Entry'!$D$64</definedName>
    <definedName name="t_left">'CIPM Air Density'!$D$11</definedName>
    <definedName name="Tech">'Data Entry'!$F$21</definedName>
    <definedName name="Tech_Int">'Data Entry'!$J$21</definedName>
    <definedName name="Tol">'Tables and Lists'!$A$4:$B$8</definedName>
    <definedName name="Tol_Class">'Data Entry'!$C$15</definedName>
    <definedName name="Tol_List">'Tables and Lists'!$A$4:$A$22</definedName>
    <definedName name="Tolerance">'Data Entry'!$I$15</definedName>
    <definedName name="U">'CIPM Air Density'!$D$6</definedName>
    <definedName name="U_1">'Data Entry'!$I$75</definedName>
    <definedName name="U_1_left">'Data Entry'!$I$98</definedName>
    <definedName name="U_2">'Data Entry'!$I$93</definedName>
    <definedName name="U_2_left">'Data Entry'!$I$116</definedName>
    <definedName name="U_corr">'Data Entry'!$D$66</definedName>
    <definedName name="U_left">'CIPM Air Density'!$D$12</definedName>
    <definedName name="U_P">'Data Entry'!$F$65</definedName>
    <definedName name="U_P_k">'Data Entry'!$H$65</definedName>
    <definedName name="U_t">'Data Entry'!$F$64</definedName>
    <definedName name="U_t_k">'Data Entry'!$H$64</definedName>
    <definedName name="U_U">'Data Entry'!$F$66</definedName>
    <definedName name="U_U_k">'Data Entry'!$H$66</definedName>
    <definedName name="UCL">'Calculations'!$D$29</definedName>
    <definedName name="Us">'Data Entry'!$F$56</definedName>
    <definedName name="Usw">'Data Entry'!$F$60</definedName>
    <definedName name="Veff">'Uncertainty Analysis'!$I$43</definedName>
    <definedName name="WL">'Calculations'!$D$30</definedName>
    <definedName name="Xnom">'Data Entry'!$F$13</definedName>
  </definedNames>
  <calcPr fullCalcOnLoad="1"/>
</workbook>
</file>

<file path=xl/comments3.xml><?xml version="1.0" encoding="utf-8"?>
<comments xmlns="http://schemas.openxmlformats.org/spreadsheetml/2006/main">
  <authors>
    <author>Dan Wright</author>
  </authors>
  <commentList>
    <comment ref="A1" authorId="0">
      <text>
        <r>
          <rPr>
            <b/>
            <sz val="9"/>
            <color indexed="37"/>
            <rFont val="Tahoma"/>
            <family val="2"/>
          </rPr>
          <t>Unprotect the worksheet, then double click the document to open in Adobe Acrobat</t>
        </r>
      </text>
    </comment>
  </commentList>
</comments>
</file>

<file path=xl/sharedStrings.xml><?xml version="1.0" encoding="utf-8"?>
<sst xmlns="http://schemas.openxmlformats.org/spreadsheetml/2006/main" count="923" uniqueCount="730">
  <si>
    <t>Mass Standard(s) Data</t>
  </si>
  <si>
    <t>Customer Information</t>
  </si>
  <si>
    <t>POC</t>
  </si>
  <si>
    <t>Phone</t>
  </si>
  <si>
    <t>PO#</t>
  </si>
  <si>
    <t>Calibration Item &amp; Measurement Information</t>
  </si>
  <si>
    <t>Item Description</t>
  </si>
  <si>
    <t>Manufacture</t>
  </si>
  <si>
    <t>Serial Number</t>
  </si>
  <si>
    <t>ID Code</t>
  </si>
  <si>
    <t>S =</t>
  </si>
  <si>
    <t>sw =</t>
  </si>
  <si>
    <t>Correction</t>
  </si>
  <si>
    <t>Weights</t>
  </si>
  <si>
    <t>Description</t>
  </si>
  <si>
    <t>Type</t>
  </si>
  <si>
    <t>B</t>
  </si>
  <si>
    <t>A</t>
  </si>
  <si>
    <t>g</t>
  </si>
  <si>
    <t>lb</t>
  </si>
  <si>
    <t>Specify Procedure</t>
  </si>
  <si>
    <t>Specify Equation(s)</t>
  </si>
  <si>
    <t>where</t>
  </si>
  <si>
    <t>Distribution</t>
  </si>
  <si>
    <t>X + tx</t>
  </si>
  <si>
    <t>S + ts</t>
  </si>
  <si>
    <t>U (% RH)</t>
  </si>
  <si>
    <t>Tolerance Compliance Evaluation</t>
  </si>
  <si>
    <t xml:space="preserve"> Barometric Pressure (mm Hg)</t>
  </si>
  <si>
    <t xml:space="preserve"> Temperature (ºC)</t>
  </si>
  <si>
    <t xml:space="preserve"> Relative Humidity (%)</t>
  </si>
  <si>
    <t>P (mm Hg)</t>
  </si>
  <si>
    <t>t (ºC)</t>
  </si>
  <si>
    <t>Parameter</t>
  </si>
  <si>
    <t>Humidity</t>
  </si>
  <si>
    <t>Nominal Value =</t>
  </si>
  <si>
    <t>As Found Measurements</t>
  </si>
  <si>
    <t>As Left Measurements</t>
  </si>
  <si>
    <t>Air Density For As Found Measurement Observations</t>
  </si>
  <si>
    <t>Air Density For As Left Measurement Observations</t>
  </si>
  <si>
    <t>As Found Cx vs 8.0 =</t>
  </si>
  <si>
    <t>Report Number:</t>
  </si>
  <si>
    <t>Tables &amp; Lists</t>
  </si>
  <si>
    <t>CIPM Air Density</t>
  </si>
  <si>
    <t>Double Substitution Optional Sequence B (XSSX) w/o Air Buoyancy Correction</t>
  </si>
  <si>
    <t>Uncertainty Analysis</t>
  </si>
  <si>
    <t>Nominal Value (avdp. pound)</t>
  </si>
  <si>
    <t>Nominal Mass (g)</t>
  </si>
  <si>
    <t>Temperature, Air</t>
  </si>
  <si>
    <t>Barometric Pressure</t>
  </si>
  <si>
    <t>Start Time</t>
  </si>
  <si>
    <t>ID Code(s) for S</t>
  </si>
  <si>
    <t>Calibration Date</t>
  </si>
  <si>
    <t>Data Entry</t>
  </si>
  <si>
    <t>●  The results listed in this report relate only to the artifacts described and extent of calibrations performed.</t>
  </si>
  <si>
    <t>Traceability Statement</t>
  </si>
  <si>
    <t>Uncertainty Statement</t>
  </si>
  <si>
    <t>Was a Calibration Interval Requested or is one Required?</t>
  </si>
  <si>
    <t>What is the Interval (months)?</t>
  </si>
  <si>
    <t>Assumed Density (g/cm³)</t>
  </si>
  <si>
    <t>Technician</t>
  </si>
  <si>
    <t>Artifact Condition</t>
  </si>
  <si>
    <t>Calculations</t>
  </si>
  <si>
    <t>Measurement Determinations</t>
  </si>
  <si>
    <t>Measurement Assurance Evaluations</t>
  </si>
  <si>
    <t>nominal mass in grams</t>
  </si>
  <si>
    <t>density of "normal" air, i.e., 0.0012 g/cm³</t>
  </si>
  <si>
    <t>density of the unknown mass</t>
  </si>
  <si>
    <t>density of the mass standard</t>
  </si>
  <si>
    <t>Date Received</t>
  </si>
  <si>
    <t>Documentation</t>
  </si>
  <si>
    <t>●  All corrections stated in this report correlate to a “Conventional Mass” (CM), also known as ‘apparent mass”, scale verses 8.0 g/cm³ reference mass density and an air density of 1.2 mg/cm3 at 20 ºC.</t>
  </si>
  <si>
    <t xml:space="preserve">●  In-accordance-with ISO/IEC FDIS 17025, General Requirements for the Competence of Testing and Calibration Laboratories, paragraph 5.10.4.4 ‘A calibration certificate (or calibration label) shall not contain any recommendation on the calibration interval except where this has been agreed with the client. This requirement may be superseded by legal regulations.’ </t>
  </si>
  <si>
    <t>Date Received:</t>
  </si>
  <si>
    <t>g/cm³</t>
  </si>
  <si>
    <t>Normal</t>
  </si>
  <si>
    <t>k</t>
  </si>
  <si>
    <t>U</t>
  </si>
  <si>
    <t>Expanded Uncertainty =</t>
  </si>
  <si>
    <t>As Found Conventional Mass =</t>
  </si>
  <si>
    <t>As Found Conventional Mass Correction =</t>
  </si>
  <si>
    <t>As Left Conventional Mass =</t>
  </si>
  <si>
    <t>As Left Conventional Mass Correction =</t>
  </si>
  <si>
    <t>Tolerance</t>
  </si>
  <si>
    <t>ID</t>
  </si>
  <si>
    <t>Pertinent Information</t>
  </si>
  <si>
    <t>REPORT OF CALIBRATION</t>
  </si>
  <si>
    <t>Issued To:</t>
  </si>
  <si>
    <t>Date of Issue</t>
  </si>
  <si>
    <t>WSDA Weights and Measures Metrology Laboratory</t>
  </si>
  <si>
    <t>Point of Contact:</t>
  </si>
  <si>
    <t>Purchase Order Number:</t>
  </si>
  <si>
    <r>
      <t>●</t>
    </r>
    <r>
      <rPr>
        <sz val="7"/>
        <color indexed="8"/>
        <rFont val="Trebuchet MS"/>
        <family val="2"/>
      </rPr>
      <t xml:space="preserve">  </t>
    </r>
    <r>
      <rPr>
        <sz val="10"/>
        <color indexed="8"/>
        <rFont val="Trebuchet MS"/>
        <family val="2"/>
      </rPr>
      <t>In-accordance-with Washington Administrative Code (WAC) Chapter 16-663, Service Agents -- Reporting, Test Procedures, Standards And Calibration Of Weighing And Measuring Devices, Section 16-663-130, Adequacy of standards and submission of standards for certification, paragraph 2, ‘… All standards used for servicing, repairing and/or calibrating commercial weighing and measuring devices must be submitted at least every two years for examination and certification…’</t>
    </r>
  </si>
  <si>
    <t>Artifact(s) Description</t>
  </si>
  <si>
    <t>Manufacture:</t>
  </si>
  <si>
    <t>Test Item:</t>
  </si>
  <si>
    <t>Serial Number:</t>
  </si>
  <si>
    <t>Calibration Information</t>
  </si>
  <si>
    <t>Condition:</t>
  </si>
  <si>
    <t>Procedure:</t>
  </si>
  <si>
    <t>Temperature:</t>
  </si>
  <si>
    <t>Pressure:</t>
  </si>
  <si>
    <t>Cal Date</t>
  </si>
  <si>
    <t>Laboratory Reference Standards Used</t>
  </si>
  <si>
    <t>N/A</t>
  </si>
  <si>
    <t>This is to certify that the information contained in this report is true and correct as of the date of calibration.</t>
  </si>
  <si>
    <t>Cal Due</t>
  </si>
  <si>
    <t>Metrologist:</t>
  </si>
  <si>
    <t>Cert. Number</t>
  </si>
  <si>
    <t>Tol. Specification</t>
  </si>
  <si>
    <t>Tolerance Specification:</t>
  </si>
  <si>
    <t>Job Order #:</t>
  </si>
  <si>
    <t>NIST HB 105-8</t>
  </si>
  <si>
    <t>Customer ID</t>
  </si>
  <si>
    <t>Unit</t>
  </si>
  <si>
    <t>Date</t>
  </si>
  <si>
    <t>Start Pressure (g/cm³)</t>
  </si>
  <si>
    <t>Finish Pressure (g/cm³)</t>
  </si>
  <si>
    <t>Report Number</t>
  </si>
  <si>
    <t>Initials</t>
  </si>
  <si>
    <t>DAW</t>
  </si>
  <si>
    <t>Job Order Number</t>
  </si>
  <si>
    <t>Standards Used</t>
  </si>
  <si>
    <t>Calibration Due</t>
  </si>
  <si>
    <r>
      <t xml:space="preserve">Note: If the 'Calibration Due' date turns </t>
    </r>
    <r>
      <rPr>
        <sz val="10"/>
        <color indexed="10"/>
        <rFont val="Trebuchet MS"/>
        <family val="2"/>
      </rPr>
      <t>RED</t>
    </r>
    <r>
      <rPr>
        <sz val="10"/>
        <rFont val="Trebuchet MS"/>
        <family val="2"/>
      </rPr>
      <t xml:space="preserve"> the standard calibration is void, calibrate before use.</t>
    </r>
  </si>
  <si>
    <t>No.</t>
  </si>
  <si>
    <t>Validate this workbook after any changes.</t>
  </si>
  <si>
    <t>Name</t>
  </si>
  <si>
    <t>Range</t>
  </si>
  <si>
    <t>Range Names</t>
  </si>
  <si>
    <t>Balance</t>
  </si>
  <si>
    <t>='Data Entry'!$C$14</t>
  </si>
  <si>
    <t>BalUnit</t>
  </si>
  <si>
    <t>CIPM_Pa</t>
  </si>
  <si>
    <t>Condition</t>
  </si>
  <si>
    <t>Cs</t>
  </si>
  <si>
    <t>Csw</t>
  </si>
  <si>
    <t>CustomerID</t>
  </si>
  <si>
    <t>='Data Entry'!$J$4</t>
  </si>
  <si>
    <t>='Data Entry'!$C$10</t>
  </si>
  <si>
    <t>='Data Entry'!$C$13</t>
  </si>
  <si>
    <t>Interval</t>
  </si>
  <si>
    <t>IntervalQ</t>
  </si>
  <si>
    <t>JobNo</t>
  </si>
  <si>
    <t>k_sw</t>
  </si>
  <si>
    <t>Mfg</t>
  </si>
  <si>
    <t>='Data Entry'!$C$11</t>
  </si>
  <si>
    <t>Nx</t>
  </si>
  <si>
    <t>='Data Entry'!$I$12</t>
  </si>
  <si>
    <t>Obs1_1</t>
  </si>
  <si>
    <t>Obs1_2</t>
  </si>
  <si>
    <t>Obs1_3</t>
  </si>
  <si>
    <t>Obs1_4</t>
  </si>
  <si>
    <t>Obs2_1</t>
  </si>
  <si>
    <t>Obs2_2</t>
  </si>
  <si>
    <t>Obs2_3</t>
  </si>
  <si>
    <t>Obs2_4</t>
  </si>
  <si>
    <t>Obs4_1</t>
  </si>
  <si>
    <t>='Data Entry'!$G$97</t>
  </si>
  <si>
    <t>Obs4_2</t>
  </si>
  <si>
    <t>Obs4_3</t>
  </si>
  <si>
    <t>Obs4_4</t>
  </si>
  <si>
    <t>Obs5_1</t>
  </si>
  <si>
    <t>Obs5_2</t>
  </si>
  <si>
    <t>Obs5_3</t>
  </si>
  <si>
    <t>Obs5_4</t>
  </si>
  <si>
    <t>='Data Entry'!$G$107</t>
  </si>
  <si>
    <t>P</t>
  </si>
  <si>
    <t>='CIPM Air Density'!$D$5</t>
  </si>
  <si>
    <t>P_1</t>
  </si>
  <si>
    <t>P_1_left</t>
  </si>
  <si>
    <t>P_2</t>
  </si>
  <si>
    <t>P_2_left</t>
  </si>
  <si>
    <t>='Data Entry'!$G$101</t>
  </si>
  <si>
    <t>='Data Entry'!$G$108</t>
  </si>
  <si>
    <t>P_corr</t>
  </si>
  <si>
    <t>='Data Entry'!$H$5</t>
  </si>
  <si>
    <t>='Data Entry'!$H$6</t>
  </si>
  <si>
    <t>='Data Entry'!$H$7</t>
  </si>
  <si>
    <t>Ps</t>
  </si>
  <si>
    <t>Psw</t>
  </si>
  <si>
    <t>Px</t>
  </si>
  <si>
    <t>='Data Entry'!$I$11</t>
  </si>
  <si>
    <t>RptNo</t>
  </si>
  <si>
    <t>S</t>
  </si>
  <si>
    <t>SN</t>
  </si>
  <si>
    <t>='Data Entry'!$C$12</t>
  </si>
  <si>
    <t>sp</t>
  </si>
  <si>
    <t>sp_unit</t>
  </si>
  <si>
    <t>StUnit</t>
  </si>
  <si>
    <t>sw</t>
  </si>
  <si>
    <t>t</t>
  </si>
  <si>
    <t>='CIPM Air Density'!$D$6</t>
  </si>
  <si>
    <t>t_1</t>
  </si>
  <si>
    <t>t_1_left</t>
  </si>
  <si>
    <t>t_2</t>
  </si>
  <si>
    <t>t_2_left</t>
  </si>
  <si>
    <t>t_corr</t>
  </si>
  <si>
    <t>Tech</t>
  </si>
  <si>
    <t>Tol</t>
  </si>
  <si>
    <t>Tol_Class</t>
  </si>
  <si>
    <t>Tol_List</t>
  </si>
  <si>
    <t>U_1</t>
  </si>
  <si>
    <t>U_1_left</t>
  </si>
  <si>
    <t>U_2</t>
  </si>
  <si>
    <t>U_2_left</t>
  </si>
  <si>
    <t>U_corr</t>
  </si>
  <si>
    <t>U_P</t>
  </si>
  <si>
    <t>U_t</t>
  </si>
  <si>
    <t>U_U</t>
  </si>
  <si>
    <t>UCL</t>
  </si>
  <si>
    <t>Us</t>
  </si>
  <si>
    <t>Usw</t>
  </si>
  <si>
    <t>Xnom</t>
  </si>
  <si>
    <t>Break links after calibration to lock in the data from linked workbooks.</t>
  </si>
  <si>
    <t>standard weight</t>
  </si>
  <si>
    <t>X =</t>
  </si>
  <si>
    <t>weight calibrated</t>
  </si>
  <si>
    <t>t =</t>
  </si>
  <si>
    <r>
      <t xml:space="preserve">small calibrated tare weight, A subscript </t>
    </r>
    <r>
      <rPr>
        <i/>
        <sz val="11"/>
        <rFont val="Times New Roman"/>
        <family val="1"/>
      </rPr>
      <t>s</t>
    </r>
    <r>
      <rPr>
        <sz val="11"/>
        <rFont val="Times New Roman"/>
        <family val="1"/>
      </rPr>
      <t xml:space="preserve"> or </t>
    </r>
    <r>
      <rPr>
        <i/>
        <sz val="11"/>
        <rFont val="Times New Roman"/>
        <family val="1"/>
      </rPr>
      <t>x</t>
    </r>
    <r>
      <rPr>
        <sz val="11"/>
        <rFont val="Times New Roman"/>
        <family val="1"/>
      </rPr>
      <t xml:space="preserve"> is used to indicate the larger weight with which it is associated</t>
    </r>
  </si>
  <si>
    <t>small calibrated weight used to evaluate the sensitivity of the balance</t>
  </si>
  <si>
    <t>N =</t>
  </si>
  <si>
    <r>
      <t xml:space="preserve">the nominal value of a specific weight.  Subscripts </t>
    </r>
    <r>
      <rPr>
        <i/>
        <sz val="11"/>
        <rFont val="Times New Roman"/>
        <family val="1"/>
      </rPr>
      <t>s</t>
    </r>
    <r>
      <rPr>
        <sz val="11"/>
        <rFont val="Times New Roman"/>
        <family val="1"/>
      </rPr>
      <t xml:space="preserve">, </t>
    </r>
    <r>
      <rPr>
        <i/>
        <sz val="11"/>
        <rFont val="Times New Roman"/>
        <family val="1"/>
      </rPr>
      <t>x</t>
    </r>
    <r>
      <rPr>
        <sz val="11"/>
        <rFont val="Times New Roman"/>
        <family val="1"/>
      </rPr>
      <t>, are used to identify the weight.</t>
    </r>
  </si>
  <si>
    <t>C =</t>
  </si>
  <si>
    <r>
      <t xml:space="preserve">the correction for a specific weight.  Subscripts </t>
    </r>
    <r>
      <rPr>
        <i/>
        <sz val="11"/>
        <rFont val="Times New Roman"/>
        <family val="1"/>
      </rPr>
      <t>s</t>
    </r>
    <r>
      <rPr>
        <sz val="11"/>
        <rFont val="Times New Roman"/>
        <family val="1"/>
      </rPr>
      <t xml:space="preserve">, </t>
    </r>
    <r>
      <rPr>
        <i/>
        <sz val="11"/>
        <rFont val="Times New Roman"/>
        <family val="1"/>
      </rPr>
      <t>x</t>
    </r>
    <r>
      <rPr>
        <sz val="11"/>
        <rFont val="Times New Roman"/>
        <family val="1"/>
      </rPr>
      <t>, are used to identify the weight.</t>
    </r>
  </si>
  <si>
    <t>CM =</t>
  </si>
  <si>
    <r>
      <t xml:space="preserve">the conventional mass of a specific weight.  Subscripts </t>
    </r>
    <r>
      <rPr>
        <i/>
        <sz val="11"/>
        <rFont val="Times New Roman"/>
        <family val="1"/>
      </rPr>
      <t>s</t>
    </r>
    <r>
      <rPr>
        <sz val="11"/>
        <rFont val="Times New Roman"/>
        <family val="1"/>
      </rPr>
      <t xml:space="preserve">, </t>
    </r>
    <r>
      <rPr>
        <i/>
        <sz val="11"/>
        <rFont val="Times New Roman"/>
        <family val="1"/>
      </rPr>
      <t>x</t>
    </r>
    <r>
      <rPr>
        <sz val="11"/>
        <rFont val="Times New Roman"/>
        <family val="1"/>
      </rPr>
      <t xml:space="preserve">, </t>
    </r>
    <r>
      <rPr>
        <i/>
        <sz val="11"/>
        <rFont val="Times New Roman"/>
        <family val="1"/>
      </rPr>
      <t>t</t>
    </r>
    <r>
      <rPr>
        <sz val="11"/>
        <rFont val="Times New Roman"/>
        <family val="1"/>
      </rPr>
      <t xml:space="preserve">, </t>
    </r>
    <r>
      <rPr>
        <i/>
        <sz val="11"/>
        <rFont val="Times New Roman"/>
        <family val="1"/>
      </rPr>
      <t>sw</t>
    </r>
    <r>
      <rPr>
        <sz val="11"/>
        <rFont val="Times New Roman"/>
        <family val="1"/>
      </rPr>
      <t xml:space="preserve"> are used to identify the weight.</t>
    </r>
  </si>
  <si>
    <t>density of air at time of calibration</t>
  </si>
  <si>
    <t>rn =</t>
  </si>
  <si>
    <r>
      <t>density of normal air (1.2 kg/m³</t>
    </r>
    <r>
      <rPr>
        <sz val="11"/>
        <rFont val="Times New Roman"/>
        <family val="1"/>
      </rPr>
      <t>)</t>
    </r>
  </si>
  <si>
    <t>ρ =</t>
  </si>
  <si>
    <r>
      <t xml:space="preserve">density of masses; subscripts </t>
    </r>
    <r>
      <rPr>
        <i/>
        <sz val="11"/>
        <rFont val="Times New Roman"/>
        <family val="1"/>
      </rPr>
      <t>s</t>
    </r>
    <r>
      <rPr>
        <sz val="11"/>
        <rFont val="Times New Roman"/>
        <family val="1"/>
      </rPr>
      <t xml:space="preserve">, </t>
    </r>
    <r>
      <rPr>
        <i/>
        <sz val="11"/>
        <rFont val="Times New Roman"/>
        <family val="1"/>
      </rPr>
      <t>x</t>
    </r>
    <r>
      <rPr>
        <sz val="11"/>
        <rFont val="Times New Roman"/>
        <family val="1"/>
      </rPr>
      <t xml:space="preserve">, </t>
    </r>
    <r>
      <rPr>
        <i/>
        <sz val="11"/>
        <rFont val="Times New Roman"/>
        <family val="1"/>
      </rPr>
      <t>t</t>
    </r>
    <r>
      <rPr>
        <i/>
        <vertAlign val="subscript"/>
        <sz val="11"/>
        <rFont val="Times New Roman"/>
        <family val="1"/>
      </rPr>
      <t>s</t>
    </r>
    <r>
      <rPr>
        <sz val="11"/>
        <rFont val="Times New Roman"/>
        <family val="1"/>
      </rPr>
      <t xml:space="preserve">, </t>
    </r>
    <r>
      <rPr>
        <i/>
        <sz val="11"/>
        <rFont val="Times New Roman"/>
        <family val="1"/>
      </rPr>
      <t>t</t>
    </r>
    <r>
      <rPr>
        <i/>
        <vertAlign val="subscript"/>
        <sz val="11"/>
        <rFont val="Times New Roman"/>
        <family val="1"/>
      </rPr>
      <t>x</t>
    </r>
    <r>
      <rPr>
        <sz val="11"/>
        <rFont val="Times New Roman"/>
        <family val="1"/>
      </rPr>
      <t xml:space="preserve">, </t>
    </r>
    <r>
      <rPr>
        <i/>
        <sz val="11"/>
        <rFont val="Times New Roman"/>
        <family val="1"/>
      </rPr>
      <t>sw</t>
    </r>
    <r>
      <rPr>
        <sz val="11"/>
        <rFont val="Times New Roman"/>
        <family val="1"/>
      </rPr>
      <t xml:space="preserve"> are used to identify the weight</t>
    </r>
  </si>
  <si>
    <t>Identify Components</t>
  </si>
  <si>
    <t>Component</t>
  </si>
  <si>
    <t>Reference</t>
  </si>
  <si>
    <t>Uncertainty associated with the magnitude of the air buoyancy correction where air buoyancy is not used</t>
  </si>
  <si>
    <t>Rectangular</t>
  </si>
  <si>
    <t>Technician Initials</t>
  </si>
  <si>
    <t>Component Description</t>
  </si>
  <si>
    <t>Component Symbol</t>
  </si>
  <si>
    <t>Factor to Normalize</t>
  </si>
  <si>
    <t>Standard Deviation from CC</t>
  </si>
  <si>
    <t>Report U divided by k-factor</t>
  </si>
  <si>
    <t>Magnitude of ABC</t>
  </si>
  <si>
    <t>ºC</t>
  </si>
  <si>
    <t>mm Hg</t>
  </si>
  <si>
    <t>% RH</t>
  </si>
  <si>
    <t>Instructions</t>
  </si>
  <si>
    <t>=Calculations!$D$29</t>
  </si>
  <si>
    <t>='Data Entry'!$C$15</t>
  </si>
  <si>
    <t>='Data Entry'!$I$14</t>
  </si>
  <si>
    <t>='Data Entry'!$I$13</t>
  </si>
  <si>
    <t>='Data Entry'!$G$85</t>
  </si>
  <si>
    <t>='Data Entry'!$G$86</t>
  </si>
  <si>
    <t>='Data Entry'!$G$102</t>
  </si>
  <si>
    <t>='Data Entry'!$G$109</t>
  </si>
  <si>
    <t>='Data Entry'!$G$103</t>
  </si>
  <si>
    <t>='Data Entry'!$G$110</t>
  </si>
  <si>
    <t>Print_Titles</t>
  </si>
  <si>
    <t>='Data Entry'!$H$1</t>
  </si>
  <si>
    <t>Tech_Int</t>
  </si>
  <si>
    <t>This workbook has links to the Standards, Customer List, and Mass Tolerances workbooks</t>
  </si>
  <si>
    <t>Agency IT keeps an additional back up at a remote location</t>
  </si>
  <si>
    <t>Pass</t>
  </si>
  <si>
    <t>Files on network drives cannot be accidentally deleted</t>
  </si>
  <si>
    <t>Agency IT backs up servers weekly</t>
  </si>
  <si>
    <t>Additional back-up is available at alternate facilities</t>
  </si>
  <si>
    <t>Backed up to agency servers weekly</t>
  </si>
  <si>
    <t>Files are backed up automatically</t>
  </si>
  <si>
    <t>State Metrologist and Program Manager only have access</t>
  </si>
  <si>
    <t>Confidentiality of passwords is appropriate</t>
  </si>
  <si>
    <t>Locked and password protected</t>
  </si>
  <si>
    <t>Cells are locked in place; they cannot be moved/dragged</t>
  </si>
  <si>
    <t>Cells are locked and worksheets are password protected</t>
  </si>
  <si>
    <t>Equation and calculation cells are protected against inadvertent editing</t>
  </si>
  <si>
    <t>J. Security</t>
  </si>
  <si>
    <t>Hand calculations agree with those generated by the spreadsheet, or if they disagree, the differences are significantly smaller than the reported uncertainty</t>
  </si>
  <si>
    <t>I. Analysis With Out Computer Assistance</t>
  </si>
  <si>
    <t>Evaluated and filed</t>
  </si>
  <si>
    <t>Newer spreadsheets and older spreadsheets agree down to the level of intermediate calculations; this evaluation is dated and documented</t>
  </si>
  <si>
    <t>H. Back-to-Back Testing</t>
  </si>
  <si>
    <t>Records keep in Software Validation folder on computer hard drive</t>
  </si>
  <si>
    <t>The evaluation of the embedded data is dated and documented</t>
  </si>
  <si>
    <t>All embedded data has been validated</t>
  </si>
  <si>
    <t>Embedded data (conversion factors, reference values, etc) is correct</t>
  </si>
  <si>
    <t>G. Embedded Data Evaluation</t>
  </si>
  <si>
    <t>When a master list’s date is updated, the file references (A) an old value, (B) a default value, (C) displays zero or (D) an error message, as desired by the user</t>
  </si>
  <si>
    <t>Linked references have been validated and are up to date</t>
  </si>
  <si>
    <t>Values that reference another workbook or spreadsheet are dated</t>
  </si>
  <si>
    <t>Test on uncertainty worksheet will not allow an uncertainty that is better than the latest published scope</t>
  </si>
  <si>
    <t>Uncertainties match the latest Scope</t>
  </si>
  <si>
    <t>Linked tables are validated and up to date</t>
  </si>
  <si>
    <t>Look-up tables and lists match the latest calibration report.</t>
  </si>
  <si>
    <t>F. Numerical Reference</t>
  </si>
  <si>
    <t>On data entry and calculation worksheets</t>
  </si>
  <si>
    <t>Conditional (color and non-color) formatting is functional</t>
  </si>
  <si>
    <t>Worksheets formatted for printing as necessary</t>
  </si>
  <si>
    <t>Worksheets/reports print properly, if needed to</t>
  </si>
  <si>
    <t>Graphs on uncertainty worksheet display properly</t>
  </si>
  <si>
    <t>Plotted graphs are accurate</t>
  </si>
  <si>
    <t>Combinations of interdependent macros are functional</t>
  </si>
  <si>
    <t>No command buttons</t>
  </si>
  <si>
    <t>Each command/button is functional</t>
  </si>
  <si>
    <t>Each macro used is functional</t>
  </si>
  <si>
    <t>E. Component Testing</t>
  </si>
  <si>
    <t>Where appropriate</t>
  </si>
  <si>
    <t>“Number” cells are locked to a limited number of decimal places; this limit is appropriate to the values being used</t>
  </si>
  <si>
    <t>Formatted correctly throughout workbook</t>
  </si>
  <si>
    <t>Fields, therefore their content, are categorized as “Number” and not “General” when appropriate, and vice versa</t>
  </si>
  <si>
    <t>No issues encountered</t>
  </si>
  <si>
    <t>Calculations are stable as determined by an evaluation that uses large numbers and small differences</t>
  </si>
  <si>
    <t>D. Numerical Stability</t>
  </si>
  <si>
    <t>Specified on Calculations worksheet</t>
  </si>
  <si>
    <t>Rounding is done at the appropriate locations in the file</t>
  </si>
  <si>
    <t>Calculations, when tested using standard data or reference test data, show appropriate accuracy</t>
  </si>
  <si>
    <t>Repeated calculations appropriately reference the correct cells</t>
  </si>
  <si>
    <t>Formulae on calculation worksheet match SOP</t>
  </si>
  <si>
    <t>The formulae in the fields exactly match the SOP</t>
  </si>
  <si>
    <t>C. Code review</t>
  </si>
  <si>
    <t>The chosen SOP, its methods, and its formulae, are appropriate to the level of precision/uncertainty</t>
  </si>
  <si>
    <t>Sources and references for formulae are specified</t>
  </si>
  <si>
    <t>The formulae and methods chosen from that SOP are specified</t>
  </si>
  <si>
    <t>The correct SOP is used</t>
  </si>
  <si>
    <t>B. Mathematical Specification</t>
  </si>
  <si>
    <t>Worksheets are appropriately named</t>
  </si>
  <si>
    <t>Worksheets are named appropriately</t>
  </si>
  <si>
    <t>No unused worksheets</t>
  </si>
  <si>
    <t>Unused sheets are removed</t>
  </si>
  <si>
    <t>No hidden cells or worksheets</t>
  </si>
  <si>
    <t>Rows/columns that the operator need not see are hidden</t>
  </si>
  <si>
    <t>Unused cells are locked and worksheets are protected</t>
  </si>
  <si>
    <t>Unused fields/cells are locked</t>
  </si>
  <si>
    <t>Opens to the Instruction worksheet</t>
  </si>
  <si>
    <t>The software opens at the right location within the file</t>
  </si>
  <si>
    <t>Data entry fields on the workbook template are blank. Instructions tell user to break links before saving after a calibration is performed</t>
  </si>
  <si>
    <t>Data-entry fields are “blank” when opened, preventing loss of old data and ensuring that old data is not used with the current calculations</t>
  </si>
  <si>
    <t>In data validation cells only</t>
  </si>
  <si>
    <t>The user is warned/notified whenever data-entry fields are left blank</t>
  </si>
  <si>
    <t>The number of digits to be rounded to is specified</t>
  </si>
  <si>
    <t>The Standard Operating Procedure (SOP) used is clearly specified</t>
  </si>
  <si>
    <t>Light yellow for blank, light blue for non-blank cells</t>
  </si>
  <si>
    <t>Data-entry fields are labeled and color coded (it is recommended to avoid red and green)</t>
  </si>
  <si>
    <t>The workbook opens to the instruction worksheet</t>
  </si>
  <si>
    <t>Instructions and data input appear on the visible portion of the first worksheet</t>
  </si>
  <si>
    <t>Instructions worksheet</t>
  </si>
  <si>
    <t xml:space="preserve">There are instructions for use </t>
  </si>
  <si>
    <t>All worksheet are appropriately named and easy to understand</t>
  </si>
  <si>
    <t>Spreadsheet is clear and makes sense</t>
  </si>
  <si>
    <t>A. Software Inspection</t>
  </si>
  <si>
    <t>Evidence</t>
  </si>
  <si>
    <t>Pass/Fail</t>
  </si>
  <si>
    <t>Assessment</t>
  </si>
  <si>
    <t>Codes</t>
  </si>
  <si>
    <t>Dan Wright</t>
  </si>
  <si>
    <t>Approved By</t>
  </si>
  <si>
    <t>Assessed By</t>
  </si>
  <si>
    <t>Approval Date</t>
  </si>
  <si>
    <t>Software Description</t>
  </si>
  <si>
    <t>Software Technical Assessment</t>
  </si>
  <si>
    <t>Specified on Uncertainty Analysis worksheet</t>
  </si>
  <si>
    <t>Mass corrections and uncertainties are rounded according to NISTIR 6969, GLP 9</t>
  </si>
  <si>
    <t>FORMAT_CX and ROUND_UNC</t>
  </si>
  <si>
    <t>The artifact(s) described in this report have been compared to the Standards of the State of Washington. The Standards of the State of Washington are traceable to the National Institute of Standards and Technology (NIST) and are part of a comprehensive measurement assurance program for ensuring continued accuracy and measurement traceability within the level of uncertainty reported by this laboratory. The International System of Units (SI) for mass is the kilogram (kg) (see Conversion Factors on page 3). The report number for this report is the only unique report number to be used in referencing measurement traceability for the artifact(s) described in this report.</t>
  </si>
  <si>
    <t>Conversion Factors</t>
  </si>
  <si>
    <r>
      <t xml:space="preserve">From NIST Special Publication 811, </t>
    </r>
    <r>
      <rPr>
        <i/>
        <sz val="10"/>
        <rFont val="Trebuchet MS"/>
        <family val="2"/>
      </rPr>
      <t>Guide for the Use of the International System of Units (SI)</t>
    </r>
  </si>
  <si>
    <r>
      <t xml:space="preserve">Factors in </t>
    </r>
    <r>
      <rPr>
        <b/>
        <sz val="10"/>
        <rFont val="Trebuchet MS"/>
        <family val="2"/>
      </rPr>
      <t>boldface</t>
    </r>
    <r>
      <rPr>
        <sz val="10"/>
        <rFont val="Trebuchet MS"/>
        <family val="2"/>
      </rPr>
      <t xml:space="preserve"> are exact</t>
    </r>
  </si>
  <si>
    <t>To convert from</t>
  </si>
  <si>
    <t>to</t>
  </si>
  <si>
    <t>to kilogram (kg)</t>
  </si>
  <si>
    <t>pound (avoirdupois) (lb)</t>
  </si>
  <si>
    <t>4.535 923 7 E-01</t>
  </si>
  <si>
    <t>='Tables and Lists'!$A$4:$A$22</t>
  </si>
  <si>
    <t>Assumed Density =</t>
  </si>
  <si>
    <t>multiply by</t>
  </si>
  <si>
    <t>Accreditation Statement</t>
  </si>
  <si>
    <t>Validated ranges.</t>
  </si>
  <si>
    <r>
      <t>Humidity</t>
    </r>
    <r>
      <rPr>
        <sz val="10"/>
        <rFont val="Trebuchet MS"/>
        <family val="2"/>
      </rPr>
      <t>:</t>
    </r>
  </si>
  <si>
    <t>Degrees of Freedom</t>
  </si>
  <si>
    <t>k factor</t>
  </si>
  <si>
    <t>Uncertainty</t>
  </si>
  <si>
    <t>Air Density, SOP 2, Option B, 2012 (CIPM 2007)</t>
  </si>
  <si>
    <t>Calibration Report divided by the k factor</t>
  </si>
  <si>
    <t>Uncertainty associated with the measurement process from the average range of several sets of measurements</t>
  </si>
  <si>
    <t>NISTIR 6969, SOP 2, Paragraph 2.3.2, Estimating the Magnitude of the Air Buoyancy Correction</t>
  </si>
  <si>
    <t>k factor =</t>
  </si>
  <si>
    <t>NVLAP k factor =</t>
  </si>
  <si>
    <r>
      <t>Uncertainty (u</t>
    </r>
    <r>
      <rPr>
        <vertAlign val="subscript"/>
        <sz val="11"/>
        <rFont val="Trebuchet MS"/>
        <family val="2"/>
      </rPr>
      <t>c</t>
    </r>
    <r>
      <rPr>
        <sz val="11"/>
        <rFont val="Trebuchet MS"/>
        <family val="2"/>
      </rPr>
      <t>*k) =</t>
    </r>
  </si>
  <si>
    <t xml:space="preserve"> Calculated Air Density (mg/cm³)</t>
  </si>
  <si>
    <r>
      <t>Report Conventional Mass Correction and Uncertainty (u</t>
    </r>
    <r>
      <rPr>
        <vertAlign val="subscript"/>
        <sz val="13"/>
        <rFont val="Trebuchet MS"/>
        <family val="2"/>
      </rPr>
      <t>c</t>
    </r>
    <r>
      <rPr>
        <sz val="13"/>
        <rFont val="Trebuchet MS"/>
        <family val="2"/>
      </rPr>
      <t>*k) As Follows:</t>
    </r>
  </si>
  <si>
    <t>This spreadsheet was developed by Dan Wright, WA Dept of Agriculture. This workbook follows the procedure documented in NISTIR 6969, SOP 33.</t>
  </si>
  <si>
    <t>density of air at time of measurement or normally found in the laboratory in g/cm³</t>
  </si>
  <si>
    <t>4</t>
  </si>
  <si>
    <t>1</t>
  </si>
  <si>
    <t>2</t>
  </si>
  <si>
    <t>3</t>
  </si>
  <si>
    <t>As Found Measurement Observations Option B (XSSX) (g)</t>
  </si>
  <si>
    <t>As Left Measurement Observations Option B (XSSX) (g)</t>
  </si>
  <si>
    <t>See Inspection Checklist</t>
  </si>
  <si>
    <t>Tolerance (± lb)</t>
  </si>
  <si>
    <r>
      <t xml:space="preserve">Tolerance Lookup Table
</t>
    </r>
    <r>
      <rPr>
        <b/>
        <sz val="10"/>
        <rFont val="Trebuchet MS"/>
        <family val="2"/>
      </rPr>
      <t>(Tol)
(lb)</t>
    </r>
  </si>
  <si>
    <t>ROTATE WEIGHT CART 180º</t>
  </si>
  <si>
    <t>Observations Run One</t>
  </si>
  <si>
    <t>Observations Run Two</t>
  </si>
  <si>
    <t>Observations Run Three</t>
  </si>
  <si>
    <t>S + sw</t>
  </si>
  <si>
    <t>X + sw</t>
  </si>
  <si>
    <t>CM Correction (g)</t>
  </si>
  <si>
    <r>
      <t>U</t>
    </r>
    <r>
      <rPr>
        <vertAlign val="subscript"/>
        <sz val="10"/>
        <rFont val="Trebuchet MS"/>
        <family val="2"/>
      </rPr>
      <t xml:space="preserve">s </t>
    </r>
    <r>
      <rPr>
        <sz val="10"/>
        <rFont val="Trebuchet MS"/>
        <family val="2"/>
      </rPr>
      <t>(g)</t>
    </r>
  </si>
  <si>
    <t>NIST IR 6969, SOP 33</t>
  </si>
  <si>
    <t>Inspection Checklist</t>
  </si>
  <si>
    <t>The attached Inspection Checklist is an integral component of this Calibration Report and a copy
must be maintained with the cart and reviewed prior to use.</t>
  </si>
  <si>
    <t>Inspection Checklist for Weight Cart</t>
  </si>
  <si>
    <t>Manufacturer:</t>
  </si>
  <si>
    <t>Date of Manufacture:</t>
  </si>
  <si>
    <t>Model Number:</t>
  </si>
  <si>
    <t>ID/SN Number:</t>
  </si>
  <si>
    <t>Nominal Mass of Weight Cart:</t>
  </si>
  <si>
    <t>ID/Model Number</t>
  </si>
  <si>
    <t>Power Source</t>
  </si>
  <si>
    <t>Power Source Reference Level</t>
  </si>
  <si>
    <t>Engine Oil</t>
  </si>
  <si>
    <t>Engine Oil Reference Mark</t>
  </si>
  <si>
    <t>Hydraulic Oil Reference Mark</t>
  </si>
  <si>
    <t>Inspection Checklist Information</t>
  </si>
  <si>
    <t>Number of Axles</t>
  </si>
  <si>
    <t>Number of Tires</t>
  </si>
  <si>
    <t>Sealed Wheel Bearings</t>
  </si>
  <si>
    <t>Tire Size:</t>
  </si>
  <si>
    <t>Front</t>
  </si>
  <si>
    <t>Middle</t>
  </si>
  <si>
    <t>Rear</t>
  </si>
  <si>
    <t>Nominal mass of the weight cart is suitably marked</t>
  </si>
  <si>
    <t>Fluid drain tubes extend beyond the body of the cart</t>
  </si>
  <si>
    <t>Drain holes are present in locations where water may accumulate</t>
  </si>
  <si>
    <t>Weight restraint railing is permanently fixed and solid</t>
  </si>
  <si>
    <t>Adjusting cavity is:</t>
  </si>
  <si>
    <t xml:space="preserve"> Accessible</t>
  </si>
  <si>
    <t>Sealed</t>
  </si>
  <si>
    <t>Approximate capacity (lb)</t>
  </si>
  <si>
    <t>Service brakes are functioning properly</t>
  </si>
  <si>
    <t>Parking brakes are functioning properly</t>
  </si>
  <si>
    <t>Remote control is functioning properly</t>
  </si>
  <si>
    <t>General condition at time of calibration (note any accumulated dirt/debris, damage, loose parts, or evidence of tampering or unauthorized entry of seals)</t>
  </si>
  <si>
    <t>List and report any repair and maintenance performed since the last calibration (i.e., parts replaced, leaks repaired, wheels changed, welding performed, etc.)</t>
  </si>
  <si>
    <t>Environmental Standard(s) Data (used for MABC calculation)</t>
  </si>
  <si>
    <t>SOP 4, 2.5.2.5 Check</t>
  </si>
  <si>
    <t>Quantify, Convert, Combined &amp; Expand</t>
  </si>
  <si>
    <t>NISTIR 6969, SOP 33, Calibration of Weight Carts using SOP 4 (Modified for triple double substitution measurements)</t>
  </si>
  <si>
    <r>
      <t>Upper Control Limit (R</t>
    </r>
    <r>
      <rPr>
        <vertAlign val="subscript"/>
        <sz val="11"/>
        <rFont val="Trebuchet MS"/>
        <family val="2"/>
      </rPr>
      <t>mean</t>
    </r>
    <r>
      <rPr>
        <sz val="11"/>
        <rFont val="Trebuchet MS"/>
        <family val="2"/>
      </rPr>
      <t>*3.267) =</t>
    </r>
  </si>
  <si>
    <r>
      <t>Warning Limit (R</t>
    </r>
    <r>
      <rPr>
        <vertAlign val="subscript"/>
        <sz val="11"/>
        <rFont val="Trebuchet MS"/>
        <family val="2"/>
      </rPr>
      <t>mean</t>
    </r>
    <r>
      <rPr>
        <sz val="11"/>
        <rFont val="Trebuchet MS"/>
        <family val="2"/>
      </rPr>
      <t>*2.512) =</t>
    </r>
  </si>
  <si>
    <t>As Found Range of the Measurements =</t>
  </si>
  <si>
    <t>Criteria: The observed range must be less than the Control Chart Control Limit to be considered in control.</t>
  </si>
  <si>
    <t>Nominal Mass (lb)</t>
  </si>
  <si>
    <t>Uncertainty ± (lb)</t>
  </si>
  <si>
    <t>NIST HB 105-8 Tolerance ± (lb)</t>
  </si>
  <si>
    <t>As Found Weight Cart Conventional Mass, CM vs 8.0 g/cm³, First Double Substitution =</t>
  </si>
  <si>
    <t>As Found Weight Cart Conventional Mass, CM vs 8.0 g/cm³, Second Double Substitution =</t>
  </si>
  <si>
    <t>As Found Weight Cart Conventional Mass, CM vs 8.0 g/cm³, Third Double Substitution =</t>
  </si>
  <si>
    <t xml:space="preserve">Average As Found Weight Cart Conventional Mass, CMx vs 8.0 g/cm³ = </t>
  </si>
  <si>
    <t xml:space="preserve">As Found Weight Cart Conventional Mass Correction, Cx vs 8.0 g/cm³ = </t>
  </si>
  <si>
    <t>As Left Weight Cart Conventional Mass, CM vs 8.0 g/cm³, First Double Substitution =</t>
  </si>
  <si>
    <t>As Left Weight Cart Conventional Mass, CM vs 8.0 g/cm³, Second Double Substitution =</t>
  </si>
  <si>
    <t>As Left Weight Cart Conventional Mass, CM vs 8.0 g/cm³, Third Double Substitution =</t>
  </si>
  <si>
    <t xml:space="preserve">Average As Left Weight Cart Conventional Mass, CMx vs 8.0 g/cm³ = </t>
  </si>
  <si>
    <t xml:space="preserve">As Left Weight Cart Conventional Mass Correction, Cx vs 8.0 g/cm³ = </t>
  </si>
  <si>
    <t>=Calculations!$H$9</t>
  </si>
  <si>
    <t>=Calculations!$H$10</t>
  </si>
  <si>
    <t>=Calculations!$H$17</t>
  </si>
  <si>
    <t>=Calculations!$H$18</t>
  </si>
  <si>
    <t>='Data Entry'!$J$16</t>
  </si>
  <si>
    <t>='Data Entry'!$J$19</t>
  </si>
  <si>
    <t>='Data Entry'!$C$21</t>
  </si>
  <si>
    <t>='CIPM Air Density'!$D$16</t>
  </si>
  <si>
    <t>df</t>
  </si>
  <si>
    <t>='Data Entry'!$J$17</t>
  </si>
  <si>
    <t>='Data Entry'!$J$20</t>
  </si>
  <si>
    <t>='Data Entry'!$F$20</t>
  </si>
  <si>
    <t>='Data Entry'!$G$73</t>
  </si>
  <si>
    <t>='Data Entry'!$G$74</t>
  </si>
  <si>
    <t>='Data Entry'!$G$79</t>
  </si>
  <si>
    <t>='Data Entry'!$G$80</t>
  </si>
  <si>
    <t>Obs3_1</t>
  </si>
  <si>
    <t>Obs3_2</t>
  </si>
  <si>
    <t>Obs3_3</t>
  </si>
  <si>
    <t>='Data Entry'!$G$87</t>
  </si>
  <si>
    <t>Obs3_4</t>
  </si>
  <si>
    <t>='Data Entry'!$G$95</t>
  </si>
  <si>
    <t>='Data Entry'!$G$96</t>
  </si>
  <si>
    <t>Obs6_1</t>
  </si>
  <si>
    <t>Obs6_2</t>
  </si>
  <si>
    <t>Obs6_3</t>
  </si>
  <si>
    <t>Obs6_4</t>
  </si>
  <si>
    <t>='CIPM Air Density'!$D$4</t>
  </si>
  <si>
    <t>R_mean</t>
  </si>
  <si>
    <t>='Data Entry'!$I$18</t>
  </si>
  <si>
    <t>='Data Entry'!$F$17</t>
  </si>
  <si>
    <t>='Data Entry'!$A$17</t>
  </si>
  <si>
    <t>='Data Entry'!$D$66</t>
  </si>
  <si>
    <t>='Data Entry'!$F$21</t>
  </si>
  <si>
    <t>='Data Entry'!$J$21</t>
  </si>
  <si>
    <t>='Tables and Lists'!$A$4:$B$8</t>
  </si>
  <si>
    <t>='Data Entry'!$I$15</t>
  </si>
  <si>
    <t>U_P_k</t>
  </si>
  <si>
    <t>='Data Entry'!$F$66</t>
  </si>
  <si>
    <t>U_t_k</t>
  </si>
  <si>
    <t>='Data Entry'!$H$66</t>
  </si>
  <si>
    <t>U_U_k</t>
  </si>
  <si>
    <t>WL</t>
  </si>
  <si>
    <t>=Calculations!$D$30</t>
  </si>
  <si>
    <t>='Data Entry'!$F$13</t>
  </si>
  <si>
    <t>Weight Cart Manufacture Date</t>
  </si>
  <si>
    <t>Nominal Mass Suitably Marked:</t>
  </si>
  <si>
    <t>Power Source:</t>
  </si>
  <si>
    <t>Power Source Reference Level:</t>
  </si>
  <si>
    <t>Engine Oil:</t>
  </si>
  <si>
    <t>Engine Oil Reference Mark:</t>
  </si>
  <si>
    <t>Hydraulic Oil:</t>
  </si>
  <si>
    <t>Hydraulic Oil Reference Mark:</t>
  </si>
  <si>
    <t>No. of Axles:</t>
  </si>
  <si>
    <t>No. of Tires:</t>
  </si>
  <si>
    <t>Sealed  Wheel Bearings?:</t>
  </si>
  <si>
    <t>General condition at time of calibration (note any accumulated dirt/debris, damage, loose parts, or evidence of tampering or unauthorized entry of seals).</t>
  </si>
  <si>
    <t>List and report any repair and maintenance performed, parts replaced, etc., Leaks repaired, new battery, carburetor, exhaust system, wheels changed, welding performed, etc.. Include any comments or changes since the last calibration.</t>
  </si>
  <si>
    <t>Fluid drain tubes extend beyond the body of the cart:</t>
  </si>
  <si>
    <t>Drain holes present in locations where water may accumulate:</t>
  </si>
  <si>
    <t>Weight restraint railing permanently fixed and solid:</t>
  </si>
  <si>
    <t>Service brakes functioning properly:</t>
  </si>
  <si>
    <t>Parking brakes functioning properly:</t>
  </si>
  <si>
    <t>Remote control functioning properly:</t>
  </si>
  <si>
    <t>Adjusting cavity approximate capacity:</t>
  </si>
  <si>
    <t>Adjusting Cavity Accessible:</t>
  </si>
  <si>
    <t>Adjusting Cavity Sealed:</t>
  </si>
  <si>
    <t>Tire Sizes:</t>
  </si>
  <si>
    <t>Front:</t>
  </si>
  <si>
    <t>Middle:</t>
  </si>
  <si>
    <t>Rear:</t>
  </si>
  <si>
    <t>Weight Cart Manufacture Date:</t>
  </si>
  <si>
    <t>Any maintenance, repairs, replacement of parts, or damage to weight cart or its components will likely result in an out-of-tolerance condition; therefore, maintenance or replacement of components such as batteries, tires, filters, or other items listed on the checklist, require calibration of the weight cart prior to subsequent use.</t>
  </si>
  <si>
    <t>='Data Entry'!$I$10</t>
  </si>
  <si>
    <r>
      <t xml:space="preserve">Average Air Density
</t>
    </r>
    <r>
      <rPr>
        <i/>
        <sz val="11"/>
        <rFont val="Trebuchet MS"/>
        <family val="2"/>
      </rPr>
      <t>Note: Air density results are rounded to 9 digits (g/cm³) and used for MABC calculation.</t>
    </r>
  </si>
  <si>
    <t>SOP 33 is embedded</t>
  </si>
  <si>
    <t>Formulae are show in the SOP 33 and Uncertainty Analysis worksheets</t>
  </si>
  <si>
    <t>As specified in SOP 33</t>
  </si>
  <si>
    <t>For Weight Cart Mass Echelon III calibrations</t>
  </si>
  <si>
    <t>Tested using data set</t>
  </si>
  <si>
    <t>Hand calculations match</t>
  </si>
  <si>
    <t>Weight Cart</t>
  </si>
  <si>
    <t>Adjusting Cavity Calibration Seal Number:</t>
  </si>
  <si>
    <t>='Data Entry'!$D$56</t>
  </si>
  <si>
    <t>='Data Entry'!$H$56</t>
  </si>
  <si>
    <t>='Data Entry'!$G$72</t>
  </si>
  <si>
    <t>='Data Entry'!$G$78</t>
  </si>
  <si>
    <t>='Data Entry'!$G$84</t>
  </si>
  <si>
    <t>='Data Entry'!$I$56</t>
  </si>
  <si>
    <t>='Data Entry'!$B$56</t>
  </si>
  <si>
    <t>SealNo</t>
  </si>
  <si>
    <t>='Data Entry'!$D$65</t>
  </si>
  <si>
    <t>='Data Entry'!$F$65</t>
  </si>
  <si>
    <t>='Data Entry'!$H$65</t>
  </si>
  <si>
    <t>='Data Entry'!$J$56</t>
  </si>
  <si>
    <t>='Data Entry'!$F$56</t>
  </si>
  <si>
    <r>
      <t xml:space="preserve">The worksheets are password protected. Password is </t>
    </r>
    <r>
      <rPr>
        <sz val="12"/>
        <color indexed="10"/>
        <rFont val="Trebuchet MS"/>
        <family val="2"/>
      </rPr>
      <t>password</t>
    </r>
    <r>
      <rPr>
        <sz val="12"/>
        <rFont val="Trebuchet MS"/>
        <family val="2"/>
      </rPr>
      <t>. You should protect each sheet with your own unique password. Place a password hint here so you don't forget it. Password hint is: "</t>
    </r>
    <r>
      <rPr>
        <sz val="12"/>
        <color indexed="10"/>
        <rFont val="Trebuchet MS"/>
        <family val="2"/>
      </rPr>
      <t>?</t>
    </r>
    <r>
      <rPr>
        <sz val="12"/>
        <rFont val="Trebuchet MS"/>
        <family val="2"/>
      </rPr>
      <t>"</t>
    </r>
  </si>
  <si>
    <t>Accreditation LOGO</t>
  </si>
  <si>
    <r>
      <t xml:space="preserve">Accredited by the </t>
    </r>
    <r>
      <rPr>
        <sz val="8"/>
        <color indexed="10"/>
        <rFont val="Trebuchet MS"/>
        <family val="2"/>
      </rPr>
      <t>Accreditation Authority</t>
    </r>
    <r>
      <rPr>
        <sz val="8"/>
        <rFont val="Trebuchet MS"/>
        <family val="2"/>
      </rPr>
      <t xml:space="preserve"> for the specific scope of accreditation under lab code XXXXXX-X. This report may not be used to claim product endorsement by </t>
    </r>
    <r>
      <rPr>
        <sz val="8"/>
        <color indexed="10"/>
        <rFont val="Trebuchet MS"/>
        <family val="2"/>
      </rPr>
      <t>Accreditation Authority</t>
    </r>
    <r>
      <rPr>
        <sz val="8"/>
        <rFont val="Trebuchet MS"/>
        <family val="2"/>
      </rPr>
      <t xml:space="preserve"> or any other government agency, and may not be reproduced, except in full, without written approval from the laboratory.</t>
    </r>
  </si>
  <si>
    <t>Accredited by the Accreditation Authority for the specified scope of accreditation under lab code XXXXXX-X. This laboratory meets the requirements of ISO/IEC 17025 and ANSI/NCSL Z540-1.</t>
  </si>
  <si>
    <t>Validated workbook, file name "WA2012-08-15 WAMRF-010 (Rev. 03), SOP 33 Workbook V&amp;V.pdf". Electronic copies in laboratory computer C:\ drive and agency server H:\ drive and paper copy in laboratory files.</t>
  </si>
  <si>
    <t>Estimating the Magnitude of the Air Buoyancy Correction</t>
  </si>
  <si>
    <r>
      <t>S</t>
    </r>
    <r>
      <rPr>
        <vertAlign val="subscript"/>
        <sz val="10"/>
        <rFont val="Trebuchet MS"/>
        <family val="2"/>
      </rPr>
      <t>1</t>
    </r>
  </si>
  <si>
    <r>
      <t>S</t>
    </r>
    <r>
      <rPr>
        <vertAlign val="subscript"/>
        <sz val="10"/>
        <rFont val="Trebuchet MS"/>
        <family val="2"/>
      </rPr>
      <t>2</t>
    </r>
  </si>
  <si>
    <r>
      <t>S</t>
    </r>
    <r>
      <rPr>
        <vertAlign val="subscript"/>
        <sz val="10"/>
        <rFont val="Trebuchet MS"/>
        <family val="2"/>
      </rPr>
      <t>3</t>
    </r>
  </si>
  <si>
    <r>
      <t>S</t>
    </r>
    <r>
      <rPr>
        <vertAlign val="subscript"/>
        <sz val="10"/>
        <rFont val="Trebuchet MS"/>
        <family val="2"/>
      </rPr>
      <t>4</t>
    </r>
  </si>
  <si>
    <r>
      <t>S</t>
    </r>
    <r>
      <rPr>
        <vertAlign val="subscript"/>
        <sz val="10"/>
        <rFont val="Trebuchet MS"/>
        <family val="2"/>
      </rPr>
      <t>5</t>
    </r>
  </si>
  <si>
    <r>
      <t>sw</t>
    </r>
    <r>
      <rPr>
        <vertAlign val="subscript"/>
        <sz val="10"/>
        <rFont val="Trebuchet MS"/>
        <family val="2"/>
      </rPr>
      <t>1</t>
    </r>
  </si>
  <si>
    <r>
      <t>sw</t>
    </r>
    <r>
      <rPr>
        <vertAlign val="subscript"/>
        <sz val="10"/>
        <rFont val="Trebuchet MS"/>
        <family val="2"/>
      </rPr>
      <t>2</t>
    </r>
  </si>
  <si>
    <t>Enter information for the reference weight(s) (S)</t>
  </si>
  <si>
    <t>Enter information for the sensitivity weight(s) (sw)</t>
  </si>
  <si>
    <t>Average Barometric Pressure (mm Hg)</t>
  </si>
  <si>
    <t xml:space="preserve"> Average Temperature (ºC)</t>
  </si>
  <si>
    <t>Average Relative Humidity (%)</t>
  </si>
  <si>
    <t>Average Calculated Air Density (mg/cm³)</t>
  </si>
  <si>
    <t>AVG_P</t>
  </si>
  <si>
    <t>AVG_t</t>
  </si>
  <si>
    <t>='CIPM Air Density'!$D$17</t>
  </si>
  <si>
    <t>AVG_U</t>
  </si>
  <si>
    <t>='CIPM Air Density'!$D$18</t>
  </si>
  <si>
    <t>='CIPM Air Density'!$D$19</t>
  </si>
  <si>
    <t>P_left</t>
  </si>
  <si>
    <t>='CIPM Air Density'!$D$10</t>
  </si>
  <si>
    <t>t_left</t>
  </si>
  <si>
    <t>='CIPM Air Density'!$D$11</t>
  </si>
  <si>
    <t>U_left</t>
  </si>
  <si>
    <t>='CIPM Air Density'!$D$12</t>
  </si>
  <si>
    <t>Removed GLP Rounding macros</t>
  </si>
  <si>
    <t>Entered new rounding technique and corrected formulas</t>
  </si>
  <si>
    <t>Validated workbook, file name "WA2013-02-17 WAMRF-010 (Rev. 04), SOP 33 Workbook V&amp;V.pdf". Electronic copies in laboratory computer C:\ drive and agency server H:\ drive and paper copy in laboratory files.</t>
  </si>
  <si>
    <t>Validated range names.</t>
  </si>
  <si>
    <t>Updated input for and added the Welch-Satterthwaite formula for effective degrees of freedom.</t>
  </si>
  <si>
    <t>Revised all ISBLANK() statements.</t>
  </si>
  <si>
    <t>The combined standard uncertainty includes uncertainties reported for the standard, uncertainties associated with the measurement process,  uncertainties for any observed deviations from reference values which are less than surveillance limits, and other uncertainties associated with the particular artifact (i.e., material density, air buoyancy corrections, etc.). The combined standard uncertainty is multiplied by a coverage factor, k, to give the expanded uncertainty, which defines an interval with a 95.45 % level of confidence. The expanded uncertainty presented in this report is consistent with NIST Technical Note 1297.</t>
  </si>
  <si>
    <t>Start Air Temperature (ºC)</t>
  </si>
  <si>
    <t>Finish Air Temperature (ºC)</t>
  </si>
  <si>
    <t>Start Humidity
(% RH)</t>
  </si>
  <si>
    <t>Finish Humidity
(% RH)</t>
  </si>
  <si>
    <t>As Found</t>
  </si>
  <si>
    <t>As Left</t>
  </si>
  <si>
    <t>Control Chart Information</t>
  </si>
  <si>
    <t>Note: Copy and Paste Appropriate Row(s) to Control Chart</t>
  </si>
  <si>
    <t>Process Standard Deviation for Balance (g)</t>
  </si>
  <si>
    <t>Balance Description</t>
  </si>
  <si>
    <t>Hydraulic Oil</t>
  </si>
  <si>
    <t>Finish Time</t>
  </si>
  <si>
    <r>
      <t>Combined U (u</t>
    </r>
    <r>
      <rPr>
        <vertAlign val="subscript"/>
        <sz val="11"/>
        <rFont val="Trebuchet MS"/>
        <family val="2"/>
      </rPr>
      <t>c</t>
    </r>
    <r>
      <rPr>
        <sz val="11"/>
        <rFont val="Trebuchet MS"/>
        <family val="2"/>
      </rPr>
      <t>) =</t>
    </r>
  </si>
  <si>
    <r>
      <t>Effective Degrees of Freedom, Welch-Satterthwaite formula, NIST Technical Note 1297, (B-1) (v</t>
    </r>
    <r>
      <rPr>
        <vertAlign val="subscript"/>
        <sz val="11"/>
        <rFont val="Trebuchet MS"/>
        <family val="2"/>
      </rPr>
      <t>eff</t>
    </r>
    <r>
      <rPr>
        <sz val="11"/>
        <rFont val="Trebuchet MS"/>
        <family val="2"/>
      </rPr>
      <t>) =</t>
    </r>
  </si>
  <si>
    <r>
      <t>Expanded U (u</t>
    </r>
    <r>
      <rPr>
        <vertAlign val="subscript"/>
        <sz val="11"/>
        <rFont val="Trebuchet MS"/>
        <family val="2"/>
      </rPr>
      <t>c</t>
    </r>
    <r>
      <rPr>
        <sz val="11"/>
        <rFont val="Trebuchet MS"/>
        <family val="2"/>
      </rPr>
      <t>*k) =</t>
    </r>
  </si>
  <si>
    <t>NVLAP U =</t>
  </si>
  <si>
    <t>Final k factor =</t>
  </si>
  <si>
    <r>
      <t>Final U (u</t>
    </r>
    <r>
      <rPr>
        <vertAlign val="subscript"/>
        <sz val="11"/>
        <rFont val="Trebuchet MS"/>
        <family val="2"/>
      </rPr>
      <t>c</t>
    </r>
    <r>
      <rPr>
        <sz val="11"/>
        <rFont val="Trebuchet MS"/>
        <family val="2"/>
      </rPr>
      <t>*k) =</t>
    </r>
  </si>
  <si>
    <t>NISTIR 6969, SOP 29, Para. 3.2.1.2. Standard deviation from a set of replicate measurements and NISTIR 6969, Statistical Techniques, paragraphs 8.3 &amp; 8.4, Pooled standard deviation from standard deviation for each set of replicates from a control chart</t>
  </si>
  <si>
    <t>Uncertainty associated with the reference weight(s) and sensitivity weight</t>
  </si>
  <si>
    <t>Reported Unc
(g)</t>
  </si>
  <si>
    <t>Standard Unc
(g)</t>
  </si>
  <si>
    <t>% Contribution</t>
  </si>
  <si>
    <t>Degrees of Freedom (df)</t>
  </si>
  <si>
    <t>Density (g/cm³)</t>
  </si>
  <si>
    <r>
      <t>ρ</t>
    </r>
    <r>
      <rPr>
        <i/>
        <vertAlign val="subscript"/>
        <sz val="11"/>
        <rFont val="Tahoma"/>
        <family val="2"/>
      </rPr>
      <t>a</t>
    </r>
    <r>
      <rPr>
        <i/>
        <sz val="11"/>
        <rFont val="Tahoma"/>
        <family val="2"/>
      </rPr>
      <t xml:space="preserve"> =</t>
    </r>
  </si>
  <si>
    <r>
      <t>m</t>
    </r>
    <r>
      <rPr>
        <i/>
        <vertAlign val="subscript"/>
        <sz val="11"/>
        <rFont val="Trebuchet MS"/>
        <family val="2"/>
      </rPr>
      <t>0</t>
    </r>
    <r>
      <rPr>
        <i/>
        <sz val="11"/>
        <rFont val="Trebuchet MS"/>
        <family val="2"/>
      </rPr>
      <t xml:space="preserve"> =</t>
    </r>
  </si>
  <si>
    <r>
      <t>ρ</t>
    </r>
    <r>
      <rPr>
        <i/>
        <vertAlign val="subscript"/>
        <sz val="11"/>
        <rFont val="Trebuchet MS"/>
        <family val="2"/>
      </rPr>
      <t>a</t>
    </r>
    <r>
      <rPr>
        <i/>
        <sz val="11"/>
        <rFont val="Trebuchet MS"/>
        <family val="2"/>
      </rPr>
      <t xml:space="preserve"> =</t>
    </r>
  </si>
  <si>
    <r>
      <t>ρ</t>
    </r>
    <r>
      <rPr>
        <i/>
        <vertAlign val="subscript"/>
        <sz val="11"/>
        <rFont val="Trebuchet MS"/>
        <family val="2"/>
      </rPr>
      <t>n</t>
    </r>
    <r>
      <rPr>
        <i/>
        <sz val="11"/>
        <rFont val="Trebuchet MS"/>
        <family val="2"/>
      </rPr>
      <t xml:space="preserve"> =</t>
    </r>
  </si>
  <si>
    <r>
      <t>ρ</t>
    </r>
    <r>
      <rPr>
        <i/>
        <vertAlign val="subscript"/>
        <sz val="11"/>
        <rFont val="Trebuchet MS"/>
        <family val="2"/>
      </rPr>
      <t>X</t>
    </r>
    <r>
      <rPr>
        <i/>
        <sz val="11"/>
        <rFont val="Trebuchet MS"/>
        <family val="2"/>
      </rPr>
      <t xml:space="preserve"> =</t>
    </r>
  </si>
  <si>
    <r>
      <t>ρ</t>
    </r>
    <r>
      <rPr>
        <i/>
        <vertAlign val="subscript"/>
        <sz val="11"/>
        <rFont val="Trebuchet MS"/>
        <family val="2"/>
      </rPr>
      <t>S</t>
    </r>
    <r>
      <rPr>
        <i/>
        <sz val="11"/>
        <rFont val="Trebuchet MS"/>
        <family val="2"/>
      </rPr>
      <t xml:space="preserve"> =</t>
    </r>
  </si>
  <si>
    <r>
      <t>NVLAP Effective Degrees of Freedom (v</t>
    </r>
    <r>
      <rPr>
        <vertAlign val="subscript"/>
        <sz val="11"/>
        <rFont val="Trebuchet MS"/>
        <family val="2"/>
      </rPr>
      <t>eff</t>
    </r>
    <r>
      <rPr>
        <sz val="11"/>
        <rFont val="Trebuchet MS"/>
        <family val="2"/>
      </rPr>
      <t>) =</t>
    </r>
  </si>
  <si>
    <r>
      <t>Final Effective Degrees of Freedom (v</t>
    </r>
    <r>
      <rPr>
        <vertAlign val="subscript"/>
        <sz val="11"/>
        <rFont val="Trebuchet MS"/>
        <family val="2"/>
      </rPr>
      <t>eff</t>
    </r>
    <r>
      <rPr>
        <sz val="11"/>
        <rFont val="Trebuchet MS"/>
        <family val="2"/>
      </rPr>
      <t>) =</t>
    </r>
  </si>
  <si>
    <t>Modified Uncertainty worksheet</t>
  </si>
  <si>
    <t>Validated workbook, file name "WA2013-07-29 WAMRF-010 (Rev. 05), SOP 33 Workbook V&amp;V.pdf". Electronic copies in laboratory computer C:\ drive and agency server H:\ drive and paper copy in laboratory files.</t>
  </si>
  <si>
    <t>Validated range names and spell checked.</t>
  </si>
  <si>
    <t>Best_df</t>
  </si>
  <si>
    <t>='Data Entry'!$H$19</t>
  </si>
  <si>
    <t>Best_k</t>
  </si>
  <si>
    <t>Best_U</t>
  </si>
  <si>
    <t>='Data Entry'!$E$19</t>
  </si>
  <si>
    <t>='Data Entry'!$D$60</t>
  </si>
  <si>
    <t>Final_k</t>
  </si>
  <si>
    <t>='Uncertainty Analysis'!$I$50</t>
  </si>
  <si>
    <t>Final_U</t>
  </si>
  <si>
    <t>='Uncertainty Analysis'!$I$51</t>
  </si>
  <si>
    <t>Final_Veff</t>
  </si>
  <si>
    <t>='Uncertainty Analysis'!$I$49</t>
  </si>
  <si>
    <t>='Uncertainty Analysis'!$I$44</t>
  </si>
  <si>
    <t>k_S</t>
  </si>
  <si>
    <t>='Data Entry'!$H$60</t>
  </si>
  <si>
    <t>MeasuredU</t>
  </si>
  <si>
    <t>='Uncertainty Analysis'!$I$45</t>
  </si>
  <si>
    <t>='Data Entry'!$G$71</t>
  </si>
  <si>
    <t>='Data Entry'!$G$77</t>
  </si>
  <si>
    <t>='Data Entry'!$G$83</t>
  </si>
  <si>
    <t>='Data Entry'!$G$94</t>
  </si>
  <si>
    <t>='Data Entry'!$G$100</t>
  </si>
  <si>
    <t>='Data Entry'!$G$106</t>
  </si>
  <si>
    <t>='Data Entry'!$G$69</t>
  </si>
  <si>
    <t>='Data Entry'!$G$92</t>
  </si>
  <si>
    <t>=Instructions!$7:$8</t>
  </si>
  <si>
    <t>='Data Entry'!$J$60</t>
  </si>
  <si>
    <t>S_df</t>
  </si>
  <si>
    <t>='Data Entry'!$I$112</t>
  </si>
  <si>
    <t>sp_df</t>
  </si>
  <si>
    <t>='Data Entry'!$B$60</t>
  </si>
  <si>
    <t>sw_df</t>
  </si>
  <si>
    <t>='Data Entry'!$I$60</t>
  </si>
  <si>
    <t>='Data Entry'!$E$69</t>
  </si>
  <si>
    <t>='Data Entry'!$E$92</t>
  </si>
  <si>
    <t>='Data Entry'!$E$87</t>
  </si>
  <si>
    <t>='Data Entry'!$E$110</t>
  </si>
  <si>
    <t>='Data Entry'!$D$64</t>
  </si>
  <si>
    <t>='Data Entry'!$I$69</t>
  </si>
  <si>
    <t>='Data Entry'!$I$92</t>
  </si>
  <si>
    <t>='Data Entry'!$I$87</t>
  </si>
  <si>
    <t>='Data Entry'!$I$110</t>
  </si>
  <si>
    <t>='Data Entry'!$F$64</t>
  </si>
  <si>
    <t>='Data Entry'!$H$64</t>
  </si>
  <si>
    <t>='Data Entry'!$F$60</t>
  </si>
  <si>
    <t>Veff</t>
  </si>
  <si>
    <t>='Uncertainty Analysis'!$I$43</t>
  </si>
  <si>
    <t>Fixed standard uncertainty formulas in cells D39 &amp; D40 on the Uncertainty Analysis worksheet</t>
  </si>
  <si>
    <t>Fixed % Contibution formulas in cells I38 to I41 on the Uncertainty Analysis worksheet</t>
  </si>
  <si>
    <t>Fixed Final U formula in cell I51 on the Uncertainty Analysis worksheet</t>
  </si>
  <si>
    <t>Validated workbook, file name "WA2013-08-28 WAMRF-010 (Rev. 06), SOP 33 Workbook V&amp;V.pdf". Electronic copies in laboratory computer C:\ drive and agency server H:\ drive and paper copy in laboratory files.</t>
  </si>
  <si>
    <t>Changed mg to g in the chart legend on the Uncertainty Analysis worksheet</t>
  </si>
  <si>
    <t>The weight cart was allowed to come to thermal and environmental equilibrium in the laboratory prior to calibration. The weight cart was adjusted (as needed and noted above) as close as possible to zero error. All fluid levels stated in the Inspection Checklist on page 4 were adjusted as close as possible to the full/reference marks and sealed. Liquid levels must be maintained as close to reference levels as possible during use.</t>
  </si>
  <si>
    <r>
      <t>Effective Degrees of Freedom (v</t>
    </r>
    <r>
      <rPr>
        <vertAlign val="subscript"/>
        <sz val="11"/>
        <rFont val="Trebuchet MS"/>
        <family val="2"/>
      </rPr>
      <t>eff</t>
    </r>
    <r>
      <rPr>
        <sz val="11"/>
        <rFont val="Trebuchet MS"/>
        <family val="2"/>
      </rPr>
      <t>) =</t>
    </r>
  </si>
  <si>
    <t>As Found CM Correction (lb)</t>
  </si>
  <si>
    <t>As Left CM Correction (lb)</t>
  </si>
  <si>
    <r>
      <t xml:space="preserve">●  The weight cart listed above has been found and/or left within the tolerances for the specification stated above, and as close to zero error as possible, except as noted. An artifact is considered in-tolerance when the correction plus the measurement uncertainty is equal to or less than the specified tolerance. </t>
    </r>
    <r>
      <rPr>
        <sz val="10"/>
        <color indexed="10"/>
        <rFont val="Trebuchet MS"/>
        <family val="2"/>
      </rPr>
      <t>RED</t>
    </r>
    <r>
      <rPr>
        <sz val="10"/>
        <rFont val="Trebuchet MS"/>
        <family val="2"/>
      </rPr>
      <t xml:space="preserve"> print indicates an out-of-tolerance reading.</t>
    </r>
  </si>
  <si>
    <t>k-factor</t>
  </si>
  <si>
    <t>Adjust As Close To Zero Error As Possible And Re-Test</t>
  </si>
  <si>
    <t>Criteria: The conventional mass shall not differ more than the maximum permissible error minus the
expanded uncertainty from the nominal value of weight. (ASTM E 617, NIST HB 105-1 &amp; OIML R 111)</t>
  </si>
  <si>
    <t>AF_CMx</t>
  </si>
  <si>
    <t>AF_Cx</t>
  </si>
  <si>
    <t>AL_CMx</t>
  </si>
  <si>
    <t>AL_Cx</t>
  </si>
  <si>
    <t>Cal_Date</t>
  </si>
  <si>
    <t>Mfg_Date</t>
  </si>
  <si>
    <t>PO_No</t>
  </si>
  <si>
    <t>POC_Phone</t>
  </si>
  <si>
    <t>Receive_Date</t>
  </si>
  <si>
    <t>s(p)</t>
  </si>
  <si>
    <t>u(s)</t>
  </si>
  <si>
    <t>u(MABC)</t>
  </si>
  <si>
    <t>u(sw)</t>
  </si>
  <si>
    <t>Dan Wright, Program Specialist 3</t>
  </si>
  <si>
    <t>Changed Start to Finish in cell A110 on Data Entry sheet</t>
  </si>
  <si>
    <t>Referenced As Left Conventional Mass and Conventional Mass Correction to the As Found value when no adjustment is required on the Calculations worksheet.</t>
  </si>
  <si>
    <t>Changed statistical df from 100 to 10000.</t>
  </si>
  <si>
    <t>Embedded 2014 edition of SOP 33.</t>
  </si>
  <si>
    <t>Added note 5 in Instructions concerning dependent and independent standards.</t>
  </si>
  <si>
    <t>Created an evaluation of the standard deviation vs the balance resolution per NISTIR 6969, SOP 4, paragraph 5.2.1.</t>
  </si>
  <si>
    <t>Validated workbook, file name "WA2014-11-06 WAMRF-010 (Rev. 07), SOP 33 Workbook V&amp;V.pdf". Electronic copies in laboratory computer C:\ drive and agency server H:\ drive and paper copy in laboratory files.</t>
  </si>
  <si>
    <t>The calibration of the standards are treated as dependent in the Data Entry worksheet. If you are using independent calibrated standards you need to change the formula in cell F56 on the Data Entry worksheet to a root sum square calculation. The same for cell F60 for the sensitivity weights.</t>
  </si>
  <si>
    <t>Balance ID</t>
  </si>
  <si>
    <t>Resolution</t>
  </si>
  <si>
    <t>Bal Unit</t>
  </si>
  <si>
    <t>='Data Entry'!$E$16</t>
  </si>
  <si>
    <t>BalID</t>
  </si>
  <si>
    <t>='Data Entry'!$C$16</t>
  </si>
  <si>
    <t>='Data Entry'!$H$16</t>
  </si>
  <si>
    <t>WAMRF-010 (Rev. 07), Calibration of Weight Carts, SOP 33</t>
  </si>
  <si>
    <t>Uncertainty Evaluation</t>
  </si>
  <si>
    <t>Criteria: NIST HB 143, Table 4, "The expanded uncertainty
 must be less than 1/3 of the maximum permissible error."</t>
  </si>
  <si>
    <r>
      <t>Precision Test (P</t>
    </r>
    <r>
      <rPr>
        <vertAlign val="subscript"/>
        <sz val="10"/>
        <rFont val="Trebuchet MS"/>
        <family val="2"/>
      </rPr>
      <t>n</t>
    </r>
    <r>
      <rPr>
        <sz val="10"/>
        <rFont val="Trebuchet MS"/>
        <family val="2"/>
      </rPr>
      <t>) =</t>
    </r>
  </si>
  <si>
    <t>CIPM_Pa was defaulted to nominal (0.0012 g/cm³) so the uncertainty evaluation calculate before measurement are made.</t>
  </si>
  <si>
    <t>Moved uncertainty evaluation to Data Entry worksheet and added Precision Test.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</si>
</sst>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_)"/>
    <numFmt numFmtId="165" formatCode="General_)"/>
    <numFmt numFmtId="166" formatCode="0.0##\ ###\ ###"/>
    <numFmt numFmtId="167" formatCode="##0.0##\ ###\ ###"/>
    <numFmt numFmtId="168" formatCode="##0.0##\ ###"/>
    <numFmt numFmtId="169" formatCode="[$-409]mmmm\ d\,\ yyyy;@"/>
    <numFmt numFmtId="170" formatCode="###,##0.0##\ ###"/>
    <numFmt numFmtId="171" formatCode="0.00000"/>
    <numFmt numFmtId="172" formatCode="###,##0.0##\ ###\ &quot;mg&quot;"/>
    <numFmt numFmtId="173" formatCode="0.0##\ ###\ "/>
    <numFmt numFmtId="174" formatCode="0.000000000000"/>
    <numFmt numFmtId="175" formatCode="0.0%"/>
    <numFmt numFmtId="176" formatCode="0000"/>
    <numFmt numFmtId="177" formatCode="[&lt;=9999999]###\-####;\(###\)\ ###\-####"/>
    <numFmt numFmtId="178" formatCode="mm/dd/yyyy"/>
    <numFmt numFmtId="179" formatCode="[$-409]dddd\,\ mmmm\ dd\,\ yyyy"/>
    <numFmt numFmtId="180" formatCode="0.00000000"/>
    <numFmt numFmtId="181" formatCode="0.0##\ ###"/>
    <numFmt numFmtId="182" formatCode="###\ ###\ ##0.0##\ ###\ ###"/>
    <numFmt numFmtId="183" formatCode="0.000000000"/>
    <numFmt numFmtId="184" formatCode="0.000000000000000"/>
    <numFmt numFmtId="185" formatCode="#0.0##\ ###\ ###"/>
    <numFmt numFmtId="186" formatCode="#0.0##\ ###"/>
    <numFmt numFmtId="187" formatCode="mmm\-yyyy"/>
    <numFmt numFmtId="188" formatCode="&quot;Yes&quot;;&quot;Yes&quot;;&quot;No&quot;"/>
    <numFmt numFmtId="189" formatCode="&quot;True&quot;;&quot;True&quot;;&quot;False&quot;"/>
    <numFmt numFmtId="190" formatCode="&quot;On&quot;;&quot;On&quot;;&quot;Off&quot;"/>
    <numFmt numFmtId="191" formatCode="[$€-2]\ #,##0.00_);[Red]\([$€-2]\ #,##0.00\)"/>
  </numFmts>
  <fonts count="96">
    <font>
      <sz val="10"/>
      <name val="Arial"/>
      <family val="0"/>
    </font>
    <font>
      <sz val="12"/>
      <color indexed="8"/>
      <name val="Trebuchet MS"/>
      <family val="2"/>
    </font>
    <font>
      <sz val="12"/>
      <name val="Times New Roman"/>
      <family val="1"/>
    </font>
    <font>
      <sz val="18"/>
      <name val="Arial"/>
      <family val="2"/>
    </font>
    <font>
      <sz val="12"/>
      <name val="Arial"/>
      <family val="2"/>
    </font>
    <font>
      <sz val="10"/>
      <name val="Times New Roman"/>
      <family val="1"/>
    </font>
    <font>
      <b/>
      <sz val="12"/>
      <name val="Times New Roman"/>
      <family val="1"/>
    </font>
    <font>
      <b/>
      <sz val="12"/>
      <name val="Helv"/>
      <family val="0"/>
    </font>
    <font>
      <sz val="8"/>
      <name val="Tahoma"/>
      <family val="2"/>
    </font>
    <font>
      <u val="single"/>
      <sz val="10"/>
      <color indexed="12"/>
      <name val="Arial"/>
      <family val="2"/>
    </font>
    <font>
      <sz val="12"/>
      <name val="Helv"/>
      <family val="0"/>
    </font>
    <font>
      <sz val="8"/>
      <name val="Helv"/>
      <family val="0"/>
    </font>
    <font>
      <sz val="8"/>
      <name val="Arial"/>
      <family val="2"/>
    </font>
    <font>
      <sz val="10"/>
      <name val="Courier"/>
      <family val="3"/>
    </font>
    <font>
      <sz val="11"/>
      <name val="Arial"/>
      <family val="2"/>
    </font>
    <font>
      <sz val="11"/>
      <name val="Times New Roman"/>
      <family val="1"/>
    </font>
    <font>
      <i/>
      <sz val="11"/>
      <name val="Times New Roman"/>
      <family val="1"/>
    </font>
    <font>
      <b/>
      <i/>
      <sz val="11"/>
      <name val="Arial"/>
      <family val="2"/>
    </font>
    <font>
      <sz val="10"/>
      <name val="Trebuchet MS"/>
      <family val="2"/>
    </font>
    <font>
      <sz val="8"/>
      <name val="Trebuchet MS"/>
      <family val="2"/>
    </font>
    <font>
      <sz val="11"/>
      <name val="Tahoma"/>
      <family val="2"/>
    </font>
    <font>
      <sz val="12"/>
      <name val="Trebuchet MS"/>
      <family val="2"/>
    </font>
    <font>
      <b/>
      <sz val="12"/>
      <name val="Trebuchet MS"/>
      <family val="2"/>
    </font>
    <font>
      <sz val="11"/>
      <name val="Trebuchet MS"/>
      <family val="2"/>
    </font>
    <font>
      <sz val="10"/>
      <name val="Tahoma"/>
      <family val="2"/>
    </font>
    <font>
      <vertAlign val="subscript"/>
      <sz val="10"/>
      <name val="Trebuchet MS"/>
      <family val="2"/>
    </font>
    <font>
      <b/>
      <sz val="11"/>
      <name val="Tahoma"/>
      <family val="2"/>
    </font>
    <font>
      <b/>
      <sz val="10"/>
      <name val="Trebuchet MS"/>
      <family val="2"/>
    </font>
    <font>
      <sz val="10"/>
      <color indexed="10"/>
      <name val="Trebuchet MS"/>
      <family val="2"/>
    </font>
    <font>
      <sz val="12"/>
      <name val="Tahoma"/>
      <family val="2"/>
    </font>
    <font>
      <sz val="14"/>
      <name val="Trebuchet MS"/>
      <family val="2"/>
    </font>
    <font>
      <b/>
      <sz val="8"/>
      <color indexed="8"/>
      <name val="Times New Roman"/>
      <family val="1"/>
    </font>
    <font>
      <u val="single"/>
      <sz val="8"/>
      <color indexed="12"/>
      <name val="Arial"/>
      <family val="2"/>
    </font>
    <font>
      <sz val="8"/>
      <color indexed="8"/>
      <name val="Times New Roman"/>
      <family val="1"/>
    </font>
    <font>
      <sz val="12"/>
      <color indexed="9"/>
      <name val="Times New Roman"/>
      <family val="1"/>
    </font>
    <font>
      <i/>
      <sz val="12"/>
      <name val="Trebuchet MS"/>
      <family val="2"/>
    </font>
    <font>
      <vertAlign val="subscript"/>
      <sz val="11"/>
      <name val="Trebuchet MS"/>
      <family val="2"/>
    </font>
    <font>
      <i/>
      <sz val="11"/>
      <name val="Trebuchet MS"/>
      <family val="2"/>
    </font>
    <font>
      <sz val="9"/>
      <name val="Trebuchet MS"/>
      <family val="2"/>
    </font>
    <font>
      <b/>
      <sz val="9"/>
      <color indexed="17"/>
      <name val="Lucida Sans Unicode"/>
      <family val="2"/>
    </font>
    <font>
      <sz val="14"/>
      <color indexed="17"/>
      <name val="Lucida Sans Unicode"/>
      <family val="2"/>
    </font>
    <font>
      <sz val="12"/>
      <color indexed="17"/>
      <name val="Lucida Sans Unicode"/>
      <family val="2"/>
    </font>
    <font>
      <b/>
      <i/>
      <sz val="9"/>
      <color indexed="17"/>
      <name val="Trebuchet MS"/>
      <family val="2"/>
    </font>
    <font>
      <b/>
      <i/>
      <sz val="8"/>
      <color indexed="17"/>
      <name val="Trebuchet MS"/>
      <family val="2"/>
    </font>
    <font>
      <sz val="18"/>
      <name val="Trebuchet MS"/>
      <family val="2"/>
    </font>
    <font>
      <b/>
      <sz val="11"/>
      <name val="Trebuchet MS"/>
      <family val="2"/>
    </font>
    <font>
      <sz val="10"/>
      <color indexed="8"/>
      <name val="Trebuchet MS"/>
      <family val="2"/>
    </font>
    <font>
      <sz val="7"/>
      <color indexed="8"/>
      <name val="Trebuchet MS"/>
      <family val="2"/>
    </font>
    <font>
      <b/>
      <u val="single"/>
      <sz val="10"/>
      <name val="Trebuchet MS"/>
      <family val="2"/>
    </font>
    <font>
      <b/>
      <u val="single"/>
      <sz val="11"/>
      <name val="Trebuchet MS"/>
      <family val="2"/>
    </font>
    <font>
      <i/>
      <sz val="10"/>
      <name val="Trebuchet MS"/>
      <family val="2"/>
    </font>
    <font>
      <i/>
      <vertAlign val="subscript"/>
      <sz val="11"/>
      <name val="Times New Roman"/>
      <family val="1"/>
    </font>
    <font>
      <sz val="11"/>
      <color indexed="58"/>
      <name val="Trebuchet MS"/>
      <family val="2"/>
    </font>
    <font>
      <sz val="16"/>
      <name val="Trebuchet MS"/>
      <family val="2"/>
    </font>
    <font>
      <sz val="14"/>
      <name val="Tahoma"/>
      <family val="2"/>
    </font>
    <font>
      <sz val="13"/>
      <name val="Trebuchet MS"/>
      <family val="2"/>
    </font>
    <font>
      <b/>
      <sz val="9"/>
      <color indexed="37"/>
      <name val="Tahoma"/>
      <family val="2"/>
    </font>
    <font>
      <vertAlign val="subscript"/>
      <sz val="13"/>
      <name val="Trebuchet MS"/>
      <family val="2"/>
    </font>
    <font>
      <sz val="12"/>
      <color indexed="10"/>
      <name val="Trebuchet MS"/>
      <family val="2"/>
    </font>
    <font>
      <sz val="8"/>
      <color indexed="10"/>
      <name val="Trebuchet MS"/>
      <family val="2"/>
    </font>
    <font>
      <i/>
      <sz val="11"/>
      <name val="Tahoma"/>
      <family val="2"/>
    </font>
    <font>
      <i/>
      <vertAlign val="subscript"/>
      <sz val="11"/>
      <name val="Tahoma"/>
      <family val="2"/>
    </font>
    <font>
      <i/>
      <vertAlign val="subscript"/>
      <sz val="11"/>
      <name val="Trebuchet MS"/>
      <family val="2"/>
    </font>
    <font>
      <i/>
      <sz val="11"/>
      <color indexed="58"/>
      <name val="Trebuchet MS"/>
      <family val="2"/>
    </font>
    <font>
      <sz val="12"/>
      <color indexed="9"/>
      <name val="Trebuchet MS"/>
      <family val="2"/>
    </font>
    <font>
      <sz val="12"/>
      <color indexed="20"/>
      <name val="Trebuchet MS"/>
      <family val="2"/>
    </font>
    <font>
      <b/>
      <sz val="12"/>
      <color indexed="52"/>
      <name val="Trebuchet MS"/>
      <family val="2"/>
    </font>
    <font>
      <b/>
      <sz val="12"/>
      <color indexed="9"/>
      <name val="Trebuchet MS"/>
      <family val="2"/>
    </font>
    <font>
      <i/>
      <sz val="12"/>
      <color indexed="23"/>
      <name val="Trebuchet MS"/>
      <family val="2"/>
    </font>
    <font>
      <u val="single"/>
      <sz val="10"/>
      <color indexed="20"/>
      <name val="Arial"/>
      <family val="2"/>
    </font>
    <font>
      <sz val="12"/>
      <color indexed="17"/>
      <name val="Trebuchet MS"/>
      <family val="2"/>
    </font>
    <font>
      <b/>
      <sz val="11"/>
      <color indexed="62"/>
      <name val="Trebuchet MS"/>
      <family val="2"/>
    </font>
    <font>
      <sz val="12"/>
      <color indexed="62"/>
      <name val="Trebuchet MS"/>
      <family val="2"/>
    </font>
    <font>
      <sz val="12"/>
      <color indexed="52"/>
      <name val="Trebuchet MS"/>
      <family val="2"/>
    </font>
    <font>
      <sz val="12"/>
      <color indexed="60"/>
      <name val="Trebuchet MS"/>
      <family val="2"/>
    </font>
    <font>
      <b/>
      <sz val="12"/>
      <color indexed="63"/>
      <name val="Trebuchet MS"/>
      <family val="2"/>
    </font>
    <font>
      <b/>
      <sz val="18"/>
      <color indexed="62"/>
      <name val="Cambria"/>
      <family val="2"/>
    </font>
    <font>
      <sz val="14.5"/>
      <color indexed="8"/>
      <name val="Arial"/>
      <family val="0"/>
    </font>
    <font>
      <sz val="12"/>
      <color indexed="8"/>
      <name val="Tahoma"/>
      <family val="0"/>
    </font>
    <font>
      <sz val="12"/>
      <color theme="1"/>
      <name val="Trebuchet MS"/>
      <family val="2"/>
    </font>
    <font>
      <sz val="12"/>
      <color theme="0"/>
      <name val="Trebuchet MS"/>
      <family val="2"/>
    </font>
    <font>
      <sz val="12"/>
      <color rgb="FF9C0006"/>
      <name val="Trebuchet MS"/>
      <family val="2"/>
    </font>
    <font>
      <b/>
      <sz val="12"/>
      <color rgb="FFFA7D00"/>
      <name val="Trebuchet MS"/>
      <family val="2"/>
    </font>
    <font>
      <b/>
      <sz val="12"/>
      <color theme="0"/>
      <name val="Trebuchet MS"/>
      <family val="2"/>
    </font>
    <font>
      <i/>
      <sz val="12"/>
      <color rgb="FF7F7F7F"/>
      <name val="Trebuchet MS"/>
      <family val="2"/>
    </font>
    <font>
      <u val="single"/>
      <sz val="10"/>
      <color theme="11"/>
      <name val="Arial"/>
      <family val="2"/>
    </font>
    <font>
      <sz val="12"/>
      <color rgb="FF006100"/>
      <name val="Trebuchet MS"/>
      <family val="2"/>
    </font>
    <font>
      <b/>
      <sz val="11"/>
      <color theme="3"/>
      <name val="Trebuchet MS"/>
      <family val="2"/>
    </font>
    <font>
      <sz val="12"/>
      <color rgb="FF3F3F76"/>
      <name val="Trebuchet MS"/>
      <family val="2"/>
    </font>
    <font>
      <sz val="12"/>
      <color rgb="FFFA7D00"/>
      <name val="Trebuchet MS"/>
      <family val="2"/>
    </font>
    <font>
      <sz val="12"/>
      <color rgb="FF9C6500"/>
      <name val="Trebuchet MS"/>
      <family val="2"/>
    </font>
    <font>
      <b/>
      <sz val="12"/>
      <color rgb="FF3F3F3F"/>
      <name val="Trebuchet MS"/>
      <family val="2"/>
    </font>
    <font>
      <b/>
      <sz val="18"/>
      <color theme="3"/>
      <name val="Cambria"/>
      <family val="2"/>
    </font>
    <font>
      <sz val="12"/>
      <color rgb="FFFF0000"/>
      <name val="Trebuchet MS"/>
      <family val="2"/>
    </font>
    <font>
      <sz val="12"/>
      <color rgb="FF000000"/>
      <name val="Trebuchet MS"/>
      <family val="2"/>
    </font>
    <font>
      <b/>
      <sz val="8"/>
      <name val="Arial"/>
      <family val="2"/>
    </font>
  </fonts>
  <fills count="22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indexed="51"/>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rgb="FF7030A0"/>
        </stop>
      </gradientFill>
    </fill>
    <fill>
      <gradientFill degree="90">
        <stop position="0">
          <color theme="0"/>
        </stop>
        <stop position="1">
          <color rgb="FF7030A0"/>
        </stop>
      </gradientFill>
    </fill>
    <fill>
      <gradientFill degree="90">
        <stop position="0">
          <color theme="0"/>
        </stop>
        <stop position="1">
          <color rgb="FF7030A0"/>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rgb="FF7030A0"/>
        </stop>
      </gradientFill>
    </fill>
    <fill>
      <gradientFill degree="90">
        <stop position="0">
          <color theme="0"/>
        </stop>
        <stop position="1">
          <color rgb="FF7030A0"/>
        </stop>
      </gradientFill>
    </fill>
    <fill>
      <gradientFill degree="90">
        <stop position="0">
          <color theme="0"/>
        </stop>
        <stop position="1">
          <color rgb="FF7030A0"/>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rgb="FFFFFF66"/>
        </stop>
      </gradientFill>
    </fill>
    <fill>
      <gradientFill degree="90">
        <stop position="0">
          <color theme="0"/>
        </stop>
        <stop position="1">
          <color rgb="FFFFFF6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4"/>
        </stop>
      </gradientFill>
    </fill>
    <fill>
      <gradientFill degree="90">
        <stop position="0">
          <color theme="0"/>
        </stop>
        <stop position="1">
          <color rgb="FFFFFF66"/>
        </stop>
      </gradientFill>
    </fill>
    <fill>
      <patternFill patternType="solid">
        <fgColor indexed="22"/>
        <bgColor indexed="64"/>
      </patternFill>
    </fill>
    <fill>
      <gradientFill>
        <stop position="0">
          <color theme="0"/>
        </stop>
        <stop position="1">
          <color theme="9" tint="-0.2509700059890747"/>
        </stop>
      </gradientFill>
    </fill>
    <fill>
      <gradientFill>
        <stop position="0">
          <color theme="0"/>
        </stop>
        <stop position="1">
          <color theme="8" tint="-0.2509700059890747"/>
        </stop>
      </gradientFill>
    </fill>
    <fill>
      <gradientFill>
        <stop position="0">
          <color theme="0"/>
        </stop>
        <stop position="1">
          <color theme="1" tint="0.1490200012922287"/>
        </stop>
      </gradientFill>
    </fill>
    <fill>
      <gradientFill>
        <stop position="0">
          <color theme="0"/>
        </stop>
        <stop position="1">
          <color theme="7" tint="-0.2509700059890747"/>
        </stop>
      </gradientFill>
    </fill>
    <fill>
      <gradientFill degree="90">
        <stop position="0">
          <color theme="0"/>
        </stop>
        <stop position="1">
          <color theme="5"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3" tint="0.4000099897384643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6" tint="0.40000998973846436"/>
        </stop>
      </gradientFill>
    </fill>
    <fill>
      <gradientFill degree="90">
        <stop position="0">
          <color theme="0"/>
        </stop>
        <stop position="1">
          <color theme="3" tint="0.40000998973846436"/>
        </stop>
      </gradientFill>
    </fill>
    <fill>
      <gradientFill>
        <stop position="0">
          <color theme="0"/>
        </stop>
        <stop position="1">
          <color rgb="FF002060"/>
        </stop>
      </gradientFill>
    </fill>
    <fill>
      <gradientFill degree="90">
        <stop position="0">
          <color theme="0"/>
        </stop>
        <stop position="1">
          <color theme="3" tint="0.40000998973846436"/>
        </stop>
      </gradientFill>
    </fill>
    <fill>
      <gradientFill>
        <stop position="0">
          <color theme="0"/>
        </stop>
        <stop position="1">
          <color rgb="FF002060"/>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6" tint="0.4000099897384643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stop position="0">
          <color theme="0"/>
        </stop>
        <stop position="1">
          <color theme="9" tint="-0.2509700059890747"/>
        </stop>
      </gradientFill>
    </fill>
    <fill>
      <gradientFill>
        <stop position="0">
          <color theme="0"/>
        </stop>
        <stop position="1">
          <color theme="8" tint="-0.2509700059890747"/>
        </stop>
      </gradientFill>
    </fill>
    <fill>
      <gradientFill>
        <stop position="0">
          <color theme="0"/>
        </stop>
        <stop position="1">
          <color theme="1" tint="0.1490200012922287"/>
        </stop>
      </gradientFill>
    </fill>
    <fill>
      <gradientFill>
        <stop position="0">
          <color theme="0"/>
        </stop>
        <stop position="1">
          <color theme="7" tint="-0.2509700059890747"/>
        </stop>
      </gradientFill>
    </fill>
    <fill>
      <gradientFill>
        <stop position="0">
          <color theme="0"/>
        </stop>
        <stop position="1">
          <color theme="9" tint="-0.2509700059890747"/>
        </stop>
      </gradientFill>
    </fill>
    <fill>
      <gradientFill>
        <stop position="0">
          <color theme="0"/>
        </stop>
        <stop position="1">
          <color theme="8" tint="-0.2509700059890747"/>
        </stop>
      </gradientFill>
    </fill>
    <fill>
      <gradientFill>
        <stop position="0">
          <color theme="0"/>
        </stop>
        <stop position="1">
          <color theme="1" tint="0.1490200012922287"/>
        </stop>
      </gradientFill>
    </fill>
    <fill>
      <gradientFill>
        <stop position="0">
          <color theme="0"/>
        </stop>
        <stop position="1">
          <color theme="7" tint="-0.2509700059890747"/>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rgb="FFFFFF66"/>
        </stop>
      </gradientFill>
    </fill>
    <fill>
      <gradientFill degree="90">
        <stop position="0">
          <color theme="0"/>
        </stop>
        <stop position="1">
          <color rgb="FFFFFF6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5"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stop position="0">
          <color theme="0"/>
        </stop>
        <stop position="1">
          <color rgb="FF92D050"/>
        </stop>
      </gradientFill>
    </fill>
    <fill>
      <gradientFill>
        <stop position="0">
          <color theme="0"/>
        </stop>
        <stop position="1">
          <color rgb="FF92D050"/>
        </stop>
      </gradientFill>
    </fill>
    <fill>
      <gradientFill>
        <stop position="0">
          <color theme="0"/>
        </stop>
        <stop position="1">
          <color rgb="FF92D050"/>
        </stop>
      </gradientFill>
    </fill>
    <fill>
      <gradientFill>
        <stop position="0">
          <color theme="0"/>
        </stop>
        <stop position="1">
          <color rgb="FF92D050"/>
        </stop>
      </gradientFill>
    </fill>
    <fill>
      <patternFill patternType="solid">
        <fgColor rgb="FF92D050"/>
        <bgColor indexed="64"/>
      </pattern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stop position="0">
          <color theme="0"/>
        </stop>
        <stop position="1">
          <color rgb="FF92D050"/>
        </stop>
      </gradientFill>
    </fill>
    <fill>
      <gradientFill>
        <stop position="0">
          <color theme="0"/>
        </stop>
        <stop position="1">
          <color rgb="FF92D050"/>
        </stop>
      </gradientFill>
    </fill>
    <fill>
      <gradientFill>
        <stop position="0">
          <color theme="0"/>
        </stop>
        <stop position="1">
          <color rgb="FF92D050"/>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patternFill patternType="solid">
        <fgColor theme="5" tint="0.5999600291252136"/>
        <bgColor indexed="64"/>
      </pattern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rgb="FF7030A0"/>
        </stop>
      </gradientFill>
    </fill>
    <fill>
      <gradientFill degree="90">
        <stop position="0">
          <color theme="0"/>
        </stop>
        <stop position="1">
          <color rgb="FF7030A0"/>
        </stop>
      </gradientFill>
    </fill>
    <fill>
      <gradientFill degree="90">
        <stop position="0">
          <color theme="0"/>
        </stop>
        <stop position="1">
          <color rgb="FF7030A0"/>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patternFill patternType="solid">
        <fgColor theme="2"/>
        <bgColor indexed="64"/>
      </patternFill>
    </fill>
    <fill>
      <gradientFill degree="90">
        <stop position="0">
          <color theme="0"/>
        </stop>
        <stop position="1">
          <color theme="2" tint="-0.2509700059890747"/>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stop position="0">
          <color theme="0"/>
        </stop>
        <stop position="1">
          <color rgb="FF92D050"/>
        </stop>
      </gradientFill>
    </fill>
    <fill>
      <gradientFill>
        <stop position="0">
          <color theme="0"/>
        </stop>
        <stop position="1">
          <color rgb="FF92D050"/>
        </stop>
      </gradient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24"/>
      </top>
      <bottom/>
    </border>
    <border>
      <left/>
      <right/>
      <top/>
      <bottom style="medium"/>
    </border>
    <border>
      <left/>
      <right/>
      <top/>
      <bottom style="thin"/>
    </border>
    <border>
      <left/>
      <right/>
      <top/>
      <bottom style="hair"/>
    </border>
    <border>
      <left style="hair"/>
      <right style="hair"/>
      <top/>
      <bottom style="hair"/>
    </border>
    <border>
      <left/>
      <right/>
      <top style="hair"/>
      <bottom style="thin"/>
    </border>
    <border>
      <left/>
      <right/>
      <top style="medium"/>
      <bottom style="hair"/>
    </border>
    <border>
      <left style="hair"/>
      <right style="hair"/>
      <top style="hair"/>
      <bottom style="hair"/>
    </border>
    <border>
      <left style="thin"/>
      <right style="thin"/>
      <top>
        <color indexed="63"/>
      </top>
      <bottom style="thin"/>
    </border>
    <border>
      <left style="thin"/>
      <right>
        <color indexed="63"/>
      </right>
      <top>
        <color indexed="63"/>
      </top>
      <bottom style="thin"/>
    </border>
    <border>
      <left style="thin"/>
      <right style="thin"/>
      <top/>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hair"/>
      <right style="hair"/>
      <top style="medium"/>
      <bottom style="hair"/>
    </border>
    <border>
      <left style="hair"/>
      <right style="thin"/>
      <top style="medium"/>
      <bottom style="hair"/>
    </border>
    <border>
      <left/>
      <right/>
      <top style="hair"/>
      <bottom style="hair"/>
    </border>
    <border>
      <left/>
      <right/>
      <top style="hair"/>
      <bottom/>
    </border>
    <border>
      <left style="hair"/>
      <right/>
      <top style="medium"/>
      <bottom style="hair"/>
    </border>
    <border>
      <left style="thin"/>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hair"/>
      <right style="hair"/>
      <top/>
      <bottom>
        <color indexed="63"/>
      </bottom>
    </border>
    <border>
      <left style="hair"/>
      <right/>
      <top/>
      <bottom/>
    </border>
    <border>
      <left/>
      <right style="hair"/>
      <top/>
      <bottom>
        <color indexed="63"/>
      </bottom>
    </border>
    <border>
      <left style="medium"/>
      <right>
        <color indexed="63"/>
      </right>
      <top style="hair"/>
      <bottom style="medium"/>
    </border>
    <border>
      <left/>
      <right/>
      <top style="hair"/>
      <bottom style="medium"/>
    </border>
    <border>
      <left>
        <color indexed="63"/>
      </left>
      <right style="medium"/>
      <top style="hair"/>
      <bottom style="medium"/>
    </border>
    <border>
      <left style="hair"/>
      <right/>
      <top style="hair"/>
      <bottom style="hair"/>
    </border>
    <border>
      <left/>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right style="hair"/>
      <top style="hair"/>
      <bottom style="hair"/>
    </border>
    <border>
      <left style="hair"/>
      <right style="medium"/>
      <top style="medium"/>
      <bottom style="hair"/>
    </border>
    <border>
      <left style="hair"/>
      <right style="medium"/>
      <top/>
      <bottom style="hair"/>
    </border>
    <border>
      <left style="hair"/>
      <right style="hair"/>
      <top style="medium"/>
      <bottom style="thin"/>
    </border>
    <border>
      <left style="hair"/>
      <right/>
      <top style="medium"/>
      <bottom style="thin"/>
    </border>
    <border>
      <left/>
      <right style="medium"/>
      <top style="hair"/>
      <bottom style="hair"/>
    </border>
    <border>
      <left style="hair"/>
      <right style="hair"/>
      <top style="hair"/>
      <bottom style="medium"/>
    </border>
    <border>
      <left style="hair"/>
      <right style="medium"/>
      <top style="hair"/>
      <bottom style="hair"/>
    </border>
    <border>
      <left style="hair"/>
      <right/>
      <top style="hair"/>
      <bottom style="medium"/>
    </border>
    <border>
      <left style="hair"/>
      <right style="medium"/>
      <top style="hair"/>
      <bottom style="medium"/>
    </border>
    <border>
      <left style="medium"/>
      <right/>
      <top style="hair"/>
      <bottom style="hair"/>
    </border>
    <border>
      <left style="medium"/>
      <right/>
      <top style="medium"/>
      <bottom style="hair"/>
    </border>
    <border>
      <left style="medium"/>
      <right style="hair"/>
      <top style="hair"/>
      <bottom style="hair"/>
    </border>
    <border>
      <left style="medium"/>
      <right/>
      <top/>
      <bottom style="hair"/>
    </border>
    <border>
      <left style="hair"/>
      <right>
        <color indexed="63"/>
      </right>
      <top style="hair"/>
      <bottom>
        <color indexed="63"/>
      </bottom>
    </border>
    <border>
      <left style="medium"/>
      <right style="hair"/>
      <top style="hair"/>
      <bottom style="medium"/>
    </border>
    <border>
      <left>
        <color indexed="63"/>
      </left>
      <right style="medium"/>
      <top style="medium"/>
      <bottom>
        <color indexed="63"/>
      </bottom>
    </border>
    <border>
      <left>
        <color indexed="63"/>
      </left>
      <right style="medium"/>
      <top>
        <color indexed="63"/>
      </top>
      <bottom>
        <color indexed="63"/>
      </bottom>
    </border>
    <border>
      <left style="hair"/>
      <right/>
      <top/>
      <bottom style="hair"/>
    </border>
    <border>
      <left style="thin">
        <color rgb="FFC2D69A"/>
      </left>
      <right>
        <color indexed="63"/>
      </right>
      <top style="thin">
        <color rgb="FFC2D69A"/>
      </top>
      <bottom style="thin">
        <color rgb="FFC2D69A"/>
      </bottom>
    </border>
    <border>
      <left>
        <color indexed="63"/>
      </left>
      <right>
        <color indexed="63"/>
      </right>
      <top style="thin">
        <color rgb="FFC2D69A"/>
      </top>
      <bottom style="thin">
        <color rgb="FFC2D69A"/>
      </bottom>
    </border>
    <border>
      <left>
        <color indexed="63"/>
      </left>
      <right style="thin">
        <color rgb="FFC2D69A"/>
      </right>
      <top style="thin">
        <color rgb="FFC2D69A"/>
      </top>
      <bottom style="thin">
        <color rgb="FFC2D69A"/>
      </bottom>
    </border>
    <border>
      <left style="medium"/>
      <right/>
      <top/>
      <bottom>
        <color indexed="63"/>
      </bottom>
    </border>
    <border>
      <left>
        <color indexed="63"/>
      </left>
      <right>
        <color indexed="63"/>
      </right>
      <top style="thin"/>
      <bottom style="medium"/>
    </border>
    <border>
      <left/>
      <right/>
      <top style="thin"/>
      <bottom/>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right/>
      <top style="medium"/>
      <bottom/>
    </border>
    <border>
      <left style="medium"/>
      <right>
        <color indexed="63"/>
      </right>
      <top style="hair"/>
      <bottom>
        <color indexed="63"/>
      </bottom>
    </border>
    <border>
      <left/>
      <right style="medium"/>
      <top style="hair"/>
      <bottom/>
    </border>
    <border>
      <left style="medium"/>
      <right style="hair"/>
      <top/>
      <bottom style="hair"/>
    </border>
    <border>
      <left>
        <color indexed="63"/>
      </left>
      <right style="thin"/>
      <top style="hair"/>
      <bottom style="hair"/>
    </border>
    <border>
      <left/>
      <right style="hair"/>
      <top style="hair"/>
      <bottom/>
    </border>
    <border>
      <left/>
      <right style="hair"/>
      <top style="medium"/>
      <bottom style="hair"/>
    </border>
    <border>
      <left/>
      <right style="hair"/>
      <top/>
      <bottom style="hair"/>
    </border>
    <border>
      <left/>
      <right style="medium"/>
      <top style="medium"/>
      <bottom style="hair"/>
    </border>
    <border>
      <left/>
      <right style="hair"/>
      <top style="hair"/>
      <bottom style="medium"/>
    </border>
    <border>
      <left style="thin"/>
      <right style="medium"/>
      <top style="medium"/>
      <bottom>
        <color indexed="63"/>
      </bottom>
    </border>
    <border>
      <left style="medium"/>
      <right style="hair"/>
      <top style="medium"/>
      <bottom style="hair"/>
    </border>
    <border>
      <left/>
      <right style="medium"/>
      <top>
        <color indexed="63"/>
      </top>
      <bottom style="hair"/>
    </border>
    <border>
      <left style="medium"/>
      <right/>
      <top style="medium"/>
      <bottom style="thin"/>
    </border>
    <border>
      <left/>
      <right style="medium"/>
      <top style="medium"/>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hair"/>
      <right style="hair"/>
      <top style="thin"/>
      <bottom style="hair"/>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7"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13" borderId="0" applyNumberFormat="0" applyBorder="0" applyAlignment="0" applyProtection="0"/>
    <xf numFmtId="0" fontId="79" fillId="20" borderId="0" applyNumberFormat="0" applyBorder="0" applyAlignment="0" applyProtection="0"/>
    <xf numFmtId="0" fontId="79" fillId="7"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31" borderId="0" applyNumberFormat="0" applyBorder="0" applyAlignment="0" applyProtection="0"/>
    <xf numFmtId="0" fontId="80" fillId="32" borderId="0" applyNumberFormat="0" applyBorder="0" applyAlignment="0" applyProtection="0"/>
    <xf numFmtId="0" fontId="80" fillId="33" borderId="0" applyNumberFormat="0" applyBorder="0" applyAlignment="0" applyProtection="0"/>
    <xf numFmtId="0" fontId="80" fillId="34" borderId="0" applyNumberFormat="0" applyBorder="0" applyAlignment="0" applyProtection="0"/>
    <xf numFmtId="0" fontId="80" fillId="35" borderId="0" applyNumberFormat="0" applyBorder="0" applyAlignment="0" applyProtection="0"/>
    <xf numFmtId="0" fontId="80" fillId="36" borderId="0" applyNumberFormat="0" applyBorder="0" applyAlignment="0" applyProtection="0"/>
    <xf numFmtId="0" fontId="80" fillId="37" borderId="0" applyNumberFormat="0" applyBorder="0" applyAlignment="0" applyProtection="0"/>
    <xf numFmtId="0" fontId="81" fillId="38" borderId="0" applyNumberFormat="0" applyBorder="0" applyAlignment="0" applyProtection="0"/>
    <xf numFmtId="0" fontId="82" fillId="39" borderId="1" applyNumberFormat="0" applyAlignment="0" applyProtection="0"/>
    <xf numFmtId="0" fontId="8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4"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85" fillId="0" borderId="0" applyNumberFormat="0" applyFill="0" applyBorder="0" applyAlignment="0" applyProtection="0"/>
    <xf numFmtId="0" fontId="86" fillId="41"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7" fillId="0" borderId="3" applyNumberFormat="0" applyFill="0" applyAlignment="0" applyProtection="0"/>
    <xf numFmtId="0" fontId="8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8" fillId="42" borderId="1" applyNumberFormat="0" applyAlignment="0" applyProtection="0"/>
    <xf numFmtId="0" fontId="89" fillId="0" borderId="4" applyNumberFormat="0" applyFill="0" applyAlignment="0" applyProtection="0"/>
    <xf numFmtId="0" fontId="90"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10" fillId="0" borderId="0">
      <alignment/>
      <protection/>
    </xf>
    <xf numFmtId="165" fontId="10" fillId="0" borderId="0">
      <alignment/>
      <protection/>
    </xf>
    <xf numFmtId="0" fontId="0" fillId="0" borderId="0">
      <alignment/>
      <protection/>
    </xf>
    <xf numFmtId="165" fontId="10" fillId="0" borderId="0">
      <alignment/>
      <protection/>
    </xf>
    <xf numFmtId="165" fontId="10" fillId="0" borderId="0">
      <alignment/>
      <protection/>
    </xf>
    <xf numFmtId="0" fontId="0" fillId="44" borderId="5" applyNumberFormat="0" applyFont="0" applyAlignment="0" applyProtection="0"/>
    <xf numFmtId="0" fontId="0" fillId="44" borderId="5" applyNumberFormat="0" applyFont="0" applyAlignment="0" applyProtection="0"/>
    <xf numFmtId="0" fontId="0" fillId="44" borderId="5" applyNumberFormat="0" applyFont="0" applyAlignment="0" applyProtection="0"/>
    <xf numFmtId="0" fontId="0" fillId="44" borderId="5" applyNumberFormat="0" applyFont="0" applyAlignment="0" applyProtection="0"/>
    <xf numFmtId="0" fontId="91" fillId="39" borderId="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0" fillId="0" borderId="7" applyNumberFormat="0" applyFont="0" applyFill="0" applyAlignment="0" applyProtection="0"/>
    <xf numFmtId="0" fontId="0" fillId="0" borderId="7" applyNumberFormat="0" applyFont="0" applyFill="0" applyAlignment="0" applyProtection="0"/>
    <xf numFmtId="0" fontId="0" fillId="0" borderId="7" applyNumberFormat="0" applyFont="0" applyFill="0" applyAlignment="0" applyProtection="0"/>
    <xf numFmtId="0" fontId="93" fillId="0" borderId="0" applyNumberFormat="0" applyFill="0" applyBorder="0" applyAlignment="0" applyProtection="0"/>
  </cellStyleXfs>
  <cellXfs count="699">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7" fillId="0" borderId="0" xfId="0" applyFont="1" applyAlignment="1">
      <alignment/>
    </xf>
    <xf numFmtId="0" fontId="0" fillId="0" borderId="0" xfId="93" applyFont="1" applyProtection="1">
      <alignment/>
      <protection/>
    </xf>
    <xf numFmtId="0" fontId="2" fillId="0" borderId="0" xfId="0" applyFont="1" applyBorder="1" applyAlignment="1">
      <alignment/>
    </xf>
    <xf numFmtId="0" fontId="2" fillId="0" borderId="8" xfId="0" applyFont="1" applyBorder="1" applyAlignment="1">
      <alignment/>
    </xf>
    <xf numFmtId="0" fontId="6" fillId="0" borderId="8" xfId="0" applyFont="1" applyBorder="1" applyAlignment="1">
      <alignment/>
    </xf>
    <xf numFmtId="164" fontId="6" fillId="0" borderId="8" xfId="0" applyNumberFormat="1" applyFont="1" applyBorder="1" applyAlignment="1">
      <alignment/>
    </xf>
    <xf numFmtId="165" fontId="10" fillId="0" borderId="0" xfId="104">
      <alignment/>
      <protection/>
    </xf>
    <xf numFmtId="164" fontId="2" fillId="0" borderId="8" xfId="0" applyNumberFormat="1" applyFont="1" applyBorder="1" applyAlignment="1">
      <alignment/>
    </xf>
    <xf numFmtId="0" fontId="0" fillId="0" borderId="0" xfId="0" applyBorder="1" applyAlignment="1">
      <alignment/>
    </xf>
    <xf numFmtId="0" fontId="21" fillId="0" borderId="0" xfId="0" applyFont="1" applyAlignment="1">
      <alignment/>
    </xf>
    <xf numFmtId="0" fontId="20" fillId="0" borderId="0" xfId="0" applyFont="1" applyAlignment="1">
      <alignment/>
    </xf>
    <xf numFmtId="0" fontId="2" fillId="0" borderId="0" xfId="0" applyFont="1" applyAlignment="1">
      <alignment vertical="center"/>
    </xf>
    <xf numFmtId="0" fontId="2" fillId="0" borderId="0" xfId="93" applyFont="1" applyAlignment="1" applyProtection="1">
      <alignment vertical="center"/>
      <protection/>
    </xf>
    <xf numFmtId="0" fontId="2" fillId="0" borderId="0" xfId="93"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1" fillId="0" borderId="8" xfId="93" applyFont="1" applyBorder="1" applyAlignment="1" applyProtection="1">
      <alignment vertical="center"/>
      <protection/>
    </xf>
    <xf numFmtId="0" fontId="2" fillId="0" borderId="8" xfId="93" applyFont="1" applyBorder="1" applyAlignment="1" applyProtection="1">
      <alignment vertical="center"/>
      <protection/>
    </xf>
    <xf numFmtId="0" fontId="2" fillId="0" borderId="8" xfId="0" applyFont="1" applyBorder="1" applyAlignment="1">
      <alignment vertical="center"/>
    </xf>
    <xf numFmtId="0" fontId="0" fillId="0" borderId="8" xfId="0" applyBorder="1" applyAlignment="1">
      <alignment/>
    </xf>
    <xf numFmtId="0" fontId="18" fillId="0" borderId="0" xfId="0" applyFont="1" applyFill="1" applyBorder="1" applyAlignment="1" applyProtection="1">
      <alignment horizontal="center"/>
      <protection/>
    </xf>
    <xf numFmtId="0" fontId="20" fillId="0" borderId="0" xfId="93" applyFont="1" applyFill="1" applyBorder="1" applyAlignment="1" applyProtection="1">
      <alignment vertical="center"/>
      <protection/>
    </xf>
    <xf numFmtId="0" fontId="20" fillId="0" borderId="0" xfId="93" applyFont="1" applyFill="1" applyBorder="1" applyAlignment="1" applyProtection="1">
      <alignment horizontal="left" vertical="center"/>
      <protection/>
    </xf>
    <xf numFmtId="0" fontId="20" fillId="0" borderId="0" xfId="93" applyFont="1" applyFill="1" applyBorder="1" applyAlignment="1" applyProtection="1">
      <alignment horizontal="right" vertical="center"/>
      <protection/>
    </xf>
    <xf numFmtId="0" fontId="23" fillId="0" borderId="8" xfId="0" applyFont="1" applyBorder="1" applyAlignment="1" applyProtection="1">
      <alignment vertical="center"/>
      <protection/>
    </xf>
    <xf numFmtId="0" fontId="18" fillId="0" borderId="8" xfId="0" applyFont="1" applyBorder="1" applyAlignment="1" applyProtection="1">
      <alignment vertical="center"/>
      <protection/>
    </xf>
    <xf numFmtId="0" fontId="0" fillId="0" borderId="8" xfId="93" applyBorder="1" applyAlignment="1">
      <alignment vertical="center"/>
      <protection/>
    </xf>
    <xf numFmtId="0" fontId="18" fillId="0" borderId="8" xfId="0" applyFont="1" applyBorder="1" applyAlignment="1">
      <alignment/>
    </xf>
    <xf numFmtId="0" fontId="18" fillId="0" borderId="0" xfId="0" applyFont="1" applyBorder="1" applyAlignment="1">
      <alignment horizontal="right"/>
    </xf>
    <xf numFmtId="0" fontId="18" fillId="0" borderId="0" xfId="93" applyFont="1" applyBorder="1" applyAlignment="1" applyProtection="1">
      <alignment vertical="center"/>
      <protection/>
    </xf>
    <xf numFmtId="0" fontId="0" fillId="0" borderId="0" xfId="0" applyBorder="1" applyAlignment="1">
      <alignment/>
    </xf>
    <xf numFmtId="0" fontId="4" fillId="0" borderId="0" xfId="0" applyFont="1" applyBorder="1" applyAlignment="1">
      <alignment vertical="center" wrapText="1"/>
    </xf>
    <xf numFmtId="0" fontId="2" fillId="0" borderId="0" xfId="0" applyFont="1" applyAlignment="1" applyProtection="1">
      <alignment vertical="center"/>
      <protection/>
    </xf>
    <xf numFmtId="0" fontId="30" fillId="0" borderId="8" xfId="0" applyFont="1" applyBorder="1" applyAlignment="1">
      <alignment/>
    </xf>
    <xf numFmtId="0" fontId="29" fillId="0" borderId="8" xfId="0" applyFont="1" applyBorder="1" applyAlignment="1">
      <alignment horizontal="right"/>
    </xf>
    <xf numFmtId="165" fontId="10" fillId="0" borderId="0" xfId="103" applyAlignment="1">
      <alignment/>
      <protection/>
    </xf>
    <xf numFmtId="165" fontId="32" fillId="0" borderId="0" xfId="80" applyNumberFormat="1" applyFont="1" applyAlignment="1" applyProtection="1">
      <alignment horizontal="right"/>
      <protection/>
    </xf>
    <xf numFmtId="165" fontId="31" fillId="0" borderId="0" xfId="103" applyFont="1" applyAlignment="1">
      <alignment vertical="center" wrapText="1"/>
      <protection/>
    </xf>
    <xf numFmtId="165" fontId="33" fillId="0" borderId="0" xfId="103" applyFont="1" applyAlignment="1">
      <alignment horizontal="center" vertical="top"/>
      <protection/>
    </xf>
    <xf numFmtId="0" fontId="20" fillId="0" borderId="0" xfId="0" applyFont="1" applyBorder="1" applyAlignment="1">
      <alignment vertical="center"/>
    </xf>
    <xf numFmtId="0" fontId="2" fillId="0" borderId="0" xfId="93" applyFont="1" applyBorder="1" applyAlignment="1" applyProtection="1">
      <alignment vertical="center"/>
      <protection/>
    </xf>
    <xf numFmtId="0" fontId="2" fillId="0" borderId="0" xfId="0" applyFont="1" applyFill="1" applyAlignment="1">
      <alignment vertical="center"/>
    </xf>
    <xf numFmtId="0" fontId="29" fillId="0" borderId="8" xfId="93" applyFont="1" applyBorder="1" applyAlignment="1" applyProtection="1">
      <alignment horizontal="right" vertical="center"/>
      <protection/>
    </xf>
    <xf numFmtId="0" fontId="34" fillId="0" borderId="8" xfId="0" applyFont="1" applyBorder="1" applyAlignment="1">
      <alignment/>
    </xf>
    <xf numFmtId="0" fontId="21" fillId="0" borderId="0" xfId="0" applyFont="1" applyBorder="1" applyAlignment="1" quotePrefix="1">
      <alignment horizontal="left"/>
    </xf>
    <xf numFmtId="0" fontId="0" fillId="0" borderId="0" xfId="0" applyFont="1" applyAlignment="1">
      <alignment/>
    </xf>
    <xf numFmtId="165" fontId="10" fillId="0" borderId="0" xfId="104" applyFill="1">
      <alignment/>
      <protection/>
    </xf>
    <xf numFmtId="165" fontId="10" fillId="0" borderId="0" xfId="104" applyFill="1" applyProtection="1">
      <alignment/>
      <protection/>
    </xf>
    <xf numFmtId="0" fontId="18" fillId="0" borderId="0" xfId="0" applyFont="1" applyBorder="1" applyAlignment="1">
      <alignment/>
    </xf>
    <xf numFmtId="0" fontId="39" fillId="0" borderId="0" xfId="0" applyFont="1" applyAlignment="1">
      <alignment horizontal="center"/>
    </xf>
    <xf numFmtId="0" fontId="40" fillId="0" borderId="0" xfId="0" applyFont="1" applyAlignment="1">
      <alignment horizontal="center"/>
    </xf>
    <xf numFmtId="0" fontId="18" fillId="0" borderId="0" xfId="0" applyFont="1" applyBorder="1" applyAlignment="1">
      <alignment horizontal="left" vertical="center" wrapText="1" indent="1"/>
    </xf>
    <xf numFmtId="0" fontId="41" fillId="0" borderId="0" xfId="0" applyFont="1" applyAlignment="1">
      <alignment horizontal="center"/>
    </xf>
    <xf numFmtId="0" fontId="42" fillId="0" borderId="0" xfId="0" applyFont="1" applyAlignment="1">
      <alignment horizontal="center"/>
    </xf>
    <xf numFmtId="0" fontId="43" fillId="0" borderId="0" xfId="0" applyFont="1" applyAlignment="1">
      <alignment horizontal="center"/>
    </xf>
    <xf numFmtId="165" fontId="21" fillId="0" borderId="0" xfId="103" applyFont="1" applyBorder="1" applyAlignment="1">
      <alignment horizontal="center"/>
      <protection/>
    </xf>
    <xf numFmtId="165" fontId="21" fillId="0" borderId="0" xfId="103" applyFont="1" applyAlignment="1">
      <alignment/>
      <protection/>
    </xf>
    <xf numFmtId="165" fontId="21" fillId="0" borderId="0" xfId="103" applyFont="1" applyBorder="1" applyAlignment="1">
      <alignment/>
      <protection/>
    </xf>
    <xf numFmtId="165" fontId="23" fillId="0" borderId="0" xfId="103" applyFont="1" applyBorder="1" applyAlignment="1">
      <alignment wrapText="1"/>
      <protection/>
    </xf>
    <xf numFmtId="165" fontId="18" fillId="0" borderId="0" xfId="103" applyFont="1" applyAlignment="1">
      <alignment/>
      <protection/>
    </xf>
    <xf numFmtId="165" fontId="10" fillId="0" borderId="0" xfId="103" applyFont="1" applyAlignment="1">
      <alignment/>
      <protection/>
    </xf>
    <xf numFmtId="169" fontId="21" fillId="0" borderId="0" xfId="0" applyNumberFormat="1" applyFont="1" applyBorder="1" applyAlignment="1">
      <alignment horizontal="right"/>
    </xf>
    <xf numFmtId="165" fontId="21" fillId="0" borderId="9" xfId="103" applyFont="1" applyBorder="1" applyAlignment="1">
      <alignment/>
      <protection/>
    </xf>
    <xf numFmtId="0" fontId="18" fillId="0" borderId="0" xfId="0" applyFont="1" applyAlignment="1">
      <alignment/>
    </xf>
    <xf numFmtId="165" fontId="21" fillId="0" borderId="0" xfId="103" applyFont="1" applyAlignment="1">
      <alignment horizontal="center"/>
      <protection/>
    </xf>
    <xf numFmtId="165" fontId="22" fillId="0" borderId="0" xfId="103" applyFont="1" applyBorder="1" applyAlignment="1">
      <alignment horizontal="center"/>
      <protection/>
    </xf>
    <xf numFmtId="0" fontId="44" fillId="0" borderId="0" xfId="0" applyFont="1" applyAlignment="1">
      <alignment horizontal="center"/>
    </xf>
    <xf numFmtId="0" fontId="18" fillId="0" borderId="0" xfId="0" applyFont="1" applyAlignment="1">
      <alignment horizontal="left" vertical="top" indent="1"/>
    </xf>
    <xf numFmtId="0" fontId="18" fillId="0" borderId="0" xfId="0" applyFont="1" applyAlignment="1">
      <alignment vertical="top"/>
    </xf>
    <xf numFmtId="0" fontId="18" fillId="0" borderId="0" xfId="0" applyFont="1" applyAlignment="1">
      <alignment vertical="top" wrapText="1"/>
    </xf>
    <xf numFmtId="165" fontId="45" fillId="0" borderId="8" xfId="103" applyFont="1" applyBorder="1" applyAlignment="1">
      <alignment/>
      <protection/>
    </xf>
    <xf numFmtId="165" fontId="21" fillId="0" borderId="8" xfId="103" applyFont="1" applyBorder="1" applyAlignment="1">
      <alignment/>
      <protection/>
    </xf>
    <xf numFmtId="165" fontId="18" fillId="0" borderId="0" xfId="103" applyFont="1" applyAlignment="1">
      <alignment horizontal="right"/>
      <protection/>
    </xf>
    <xf numFmtId="165" fontId="18" fillId="0" borderId="9" xfId="103" applyFont="1" applyBorder="1" applyAlignment="1">
      <alignment/>
      <protection/>
    </xf>
    <xf numFmtId="14" fontId="18" fillId="0" borderId="0" xfId="0" applyNumberFormat="1" applyFont="1" applyBorder="1" applyAlignment="1">
      <alignment horizontal="center" vertical="center" wrapText="1"/>
    </xf>
    <xf numFmtId="0" fontId="45" fillId="0" borderId="0" xfId="0" applyFont="1" applyBorder="1" applyAlignment="1">
      <alignment/>
    </xf>
    <xf numFmtId="165" fontId="18" fillId="0" borderId="0" xfId="103" applyFont="1" applyAlignment="1">
      <alignment horizontal="right" vertical="top"/>
      <protection/>
    </xf>
    <xf numFmtId="0" fontId="18" fillId="0" borderId="0" xfId="0" applyFont="1" applyAlignment="1">
      <alignment horizontal="right" vertical="top"/>
    </xf>
    <xf numFmtId="165" fontId="18" fillId="0" borderId="0" xfId="103" applyFont="1" applyAlignment="1">
      <alignment horizontal="left" indent="1"/>
      <protection/>
    </xf>
    <xf numFmtId="165" fontId="45" fillId="0" borderId="0" xfId="103" applyFont="1" applyBorder="1" applyAlignment="1">
      <alignment/>
      <protection/>
    </xf>
    <xf numFmtId="165" fontId="21" fillId="0" borderId="0" xfId="103" applyFont="1" applyBorder="1" applyAlignment="1">
      <alignment horizontal="right"/>
      <protection/>
    </xf>
    <xf numFmtId="0" fontId="18" fillId="0" borderId="0" xfId="0" applyFont="1" applyBorder="1" applyAlignment="1">
      <alignment horizontal="left" vertical="center" wrapText="1"/>
    </xf>
    <xf numFmtId="165" fontId="27" fillId="0" borderId="9" xfId="103" applyFont="1" applyBorder="1" applyAlignment="1">
      <alignment/>
      <protection/>
    </xf>
    <xf numFmtId="0" fontId="18" fillId="0" borderId="0" xfId="0" applyFont="1" applyBorder="1" applyAlignment="1">
      <alignment vertical="center" wrapText="1"/>
    </xf>
    <xf numFmtId="165" fontId="27" fillId="0" borderId="10" xfId="103" applyFont="1" applyBorder="1" applyAlignment="1">
      <alignment/>
      <protection/>
    </xf>
    <xf numFmtId="165" fontId="27" fillId="0" borderId="10" xfId="103" applyFont="1" applyBorder="1" applyAlignment="1">
      <alignment horizontal="left"/>
      <protection/>
    </xf>
    <xf numFmtId="165" fontId="27" fillId="0" borderId="10" xfId="103" applyFont="1" applyBorder="1" applyAlignment="1">
      <alignment horizontal="center"/>
      <protection/>
    </xf>
    <xf numFmtId="165" fontId="30" fillId="0" borderId="0" xfId="103" applyFont="1" applyAlignment="1">
      <alignment/>
      <protection/>
    </xf>
    <xf numFmtId="0" fontId="27" fillId="0" borderId="11" xfId="0" applyFont="1" applyFill="1" applyBorder="1" applyAlignment="1">
      <alignment horizontal="center" vertical="center" wrapText="1"/>
    </xf>
    <xf numFmtId="165" fontId="38" fillId="0" borderId="0" xfId="103" applyFont="1" applyBorder="1" applyAlignment="1">
      <alignment horizontal="center" vertical="center"/>
      <protection/>
    </xf>
    <xf numFmtId="0" fontId="0" fillId="0" borderId="0" xfId="0" applyFont="1" applyBorder="1" applyAlignment="1">
      <alignment/>
    </xf>
    <xf numFmtId="0" fontId="48" fillId="0" borderId="0" xfId="0" applyFont="1" applyBorder="1" applyAlignment="1">
      <alignment horizontal="center"/>
    </xf>
    <xf numFmtId="0" fontId="48" fillId="0" borderId="0" xfId="0" applyFont="1" applyAlignment="1">
      <alignment horizontal="center"/>
    </xf>
    <xf numFmtId="0" fontId="49" fillId="0" borderId="0" xfId="0" applyFont="1" applyAlignment="1">
      <alignment horizontal="center"/>
    </xf>
    <xf numFmtId="169" fontId="35" fillId="0" borderId="0" xfId="0" applyNumberFormat="1" applyFont="1" applyBorder="1" applyAlignment="1">
      <alignment horizontal="center"/>
    </xf>
    <xf numFmtId="165" fontId="30" fillId="0" borderId="8" xfId="106" applyFont="1" applyBorder="1">
      <alignment/>
      <protection/>
    </xf>
    <xf numFmtId="165" fontId="21" fillId="0" borderId="0" xfId="103" applyFont="1" applyAlignment="1">
      <alignment horizontal="center" vertical="center"/>
      <protection/>
    </xf>
    <xf numFmtId="165" fontId="21" fillId="0" borderId="0" xfId="103" applyFont="1" applyBorder="1" applyAlignment="1">
      <alignment horizontal="center" vertical="center"/>
      <protection/>
    </xf>
    <xf numFmtId="0" fontId="0" fillId="0" borderId="0" xfId="0" applyAlignment="1" applyProtection="1">
      <alignment/>
      <protection/>
    </xf>
    <xf numFmtId="165" fontId="21" fillId="0" borderId="8" xfId="106" applyFont="1" applyBorder="1">
      <alignment/>
      <protection/>
    </xf>
    <xf numFmtId="0" fontId="21" fillId="0" borderId="8" xfId="91" applyFont="1" applyBorder="1" applyAlignment="1" quotePrefix="1">
      <alignment horizontal="right" vertical="center"/>
      <protection/>
    </xf>
    <xf numFmtId="165" fontId="21" fillId="0" borderId="0" xfId="106" applyFont="1">
      <alignment/>
      <protection/>
    </xf>
    <xf numFmtId="165" fontId="21" fillId="0" borderId="0" xfId="106" applyFont="1" applyBorder="1">
      <alignment/>
      <protection/>
    </xf>
    <xf numFmtId="0" fontId="21" fillId="0" borderId="0" xfId="91" applyFont="1" applyBorder="1" applyAlignment="1" quotePrefix="1">
      <alignment horizontal="right" vertical="center"/>
      <protection/>
    </xf>
    <xf numFmtId="165" fontId="21" fillId="0" borderId="0" xfId="106" applyFont="1" applyFill="1">
      <alignment/>
      <protection/>
    </xf>
    <xf numFmtId="165" fontId="21" fillId="0" borderId="0" xfId="106" applyFont="1" applyFill="1" applyBorder="1" applyAlignment="1">
      <alignment vertical="top" wrapText="1"/>
      <protection/>
    </xf>
    <xf numFmtId="14" fontId="21" fillId="0" borderId="0" xfId="106" applyNumberFormat="1" applyFont="1" applyFill="1" applyBorder="1" applyAlignment="1">
      <alignment horizontal="center" vertical="top"/>
      <protection/>
    </xf>
    <xf numFmtId="165" fontId="21" fillId="0" borderId="0" xfId="106" applyFont="1" applyFill="1" applyBorder="1" applyAlignment="1">
      <alignment horizontal="center" vertical="top"/>
      <protection/>
    </xf>
    <xf numFmtId="0" fontId="21" fillId="0" borderId="8" xfId="93" applyFont="1" applyBorder="1" applyProtection="1">
      <alignment/>
      <protection/>
    </xf>
    <xf numFmtId="0" fontId="18" fillId="0" borderId="8" xfId="93" applyFont="1" applyBorder="1" applyProtection="1">
      <alignment/>
      <protection/>
    </xf>
    <xf numFmtId="14" fontId="0" fillId="0" borderId="0" xfId="93" applyNumberFormat="1" applyAlignment="1" applyProtection="1">
      <alignment vertical="center"/>
      <protection/>
    </xf>
    <xf numFmtId="0" fontId="0" fillId="0" borderId="0" xfId="93" applyAlignment="1" applyProtection="1">
      <alignment vertical="center"/>
      <protection/>
    </xf>
    <xf numFmtId="165" fontId="0" fillId="0" borderId="12" xfId="0" applyNumberFormat="1" applyBorder="1" applyAlignment="1" applyProtection="1">
      <alignment/>
      <protection/>
    </xf>
    <xf numFmtId="165" fontId="0" fillId="0" borderId="12" xfId="0" applyNumberFormat="1" applyBorder="1" applyAlignment="1">
      <alignment/>
    </xf>
    <xf numFmtId="0" fontId="18" fillId="0" borderId="0" xfId="93" applyFont="1" applyFill="1" applyBorder="1" applyAlignment="1" applyProtection="1">
      <alignment horizontal="center" vertical="center"/>
      <protection/>
    </xf>
    <xf numFmtId="165" fontId="21" fillId="0" borderId="0" xfId="106" applyFont="1" applyFill="1" applyBorder="1" applyAlignment="1">
      <alignment vertical="top"/>
      <protection/>
    </xf>
    <xf numFmtId="0" fontId="21" fillId="0" borderId="0" xfId="106" applyNumberFormat="1" applyFont="1" applyFill="1" applyBorder="1" applyAlignment="1">
      <alignment horizontal="center" vertical="top"/>
      <protection/>
    </xf>
    <xf numFmtId="0" fontId="21" fillId="0" borderId="0" xfId="106" applyNumberFormat="1" applyFont="1" applyFill="1" applyBorder="1" applyAlignment="1">
      <alignment vertical="top"/>
      <protection/>
    </xf>
    <xf numFmtId="0" fontId="21" fillId="0" borderId="0" xfId="106" applyNumberFormat="1" applyFont="1" applyFill="1" applyAlignment="1">
      <alignment vertical="top"/>
      <protection/>
    </xf>
    <xf numFmtId="165" fontId="21" fillId="0" borderId="0" xfId="106" applyFont="1" applyFill="1" applyAlignment="1">
      <alignment vertical="top" wrapText="1"/>
      <protection/>
    </xf>
    <xf numFmtId="0" fontId="21" fillId="0" borderId="0" xfId="106" applyNumberFormat="1" applyFont="1" applyFill="1" applyAlignment="1">
      <alignment horizontal="center" vertical="top"/>
      <protection/>
    </xf>
    <xf numFmtId="0" fontId="18" fillId="0" borderId="8" xfId="94" applyFont="1" applyBorder="1" applyAlignment="1" applyProtection="1">
      <alignment horizontal="right" vertical="center"/>
      <protection/>
    </xf>
    <xf numFmtId="0" fontId="14" fillId="0" borderId="8" xfId="0" applyFont="1" applyBorder="1" applyAlignment="1">
      <alignment vertical="center"/>
    </xf>
    <xf numFmtId="0" fontId="15" fillId="0" borderId="8" xfId="96" applyFont="1" applyBorder="1" applyAlignment="1" applyProtection="1">
      <alignment vertical="center"/>
      <protection/>
    </xf>
    <xf numFmtId="0" fontId="18" fillId="0" borderId="8" xfId="96" applyFont="1" applyBorder="1" applyAlignment="1" applyProtection="1">
      <alignment horizontal="right" vertical="center"/>
      <protection/>
    </xf>
    <xf numFmtId="0" fontId="20" fillId="0" borderId="8" xfId="99" applyFont="1" applyFill="1" applyBorder="1" applyAlignment="1" applyProtection="1">
      <alignment vertical="center"/>
      <protection/>
    </xf>
    <xf numFmtId="0" fontId="14" fillId="0" borderId="0" xfId="0" applyFont="1" applyAlignment="1">
      <alignment vertical="center"/>
    </xf>
    <xf numFmtId="0" fontId="14" fillId="0" borderId="0" xfId="0" applyFont="1" applyBorder="1" applyAlignment="1">
      <alignment vertical="center"/>
    </xf>
    <xf numFmtId="0" fontId="15" fillId="0" borderId="0" xfId="99" applyFont="1" applyAlignment="1">
      <alignment vertical="center"/>
      <protection/>
    </xf>
    <xf numFmtId="0" fontId="21" fillId="0" borderId="8" xfId="96" applyFont="1" applyBorder="1" applyAlignment="1" applyProtection="1">
      <alignment vertical="center"/>
      <protection/>
    </xf>
    <xf numFmtId="0" fontId="15" fillId="0" borderId="8" xfId="99" applyFont="1" applyBorder="1" applyAlignment="1" applyProtection="1">
      <alignment vertical="center"/>
      <protection/>
    </xf>
    <xf numFmtId="0" fontId="18" fillId="0" borderId="0" xfId="96" applyFont="1" applyBorder="1" applyAlignment="1" applyProtection="1">
      <alignment horizontal="left" vertical="center"/>
      <protection/>
    </xf>
    <xf numFmtId="0" fontId="15" fillId="0" borderId="0" xfId="99" applyFont="1" applyBorder="1" applyAlignment="1" applyProtection="1">
      <alignment vertical="center"/>
      <protection/>
    </xf>
    <xf numFmtId="0" fontId="15" fillId="0" borderId="0" xfId="96" applyFont="1" applyBorder="1" applyAlignment="1" applyProtection="1">
      <alignment vertical="center"/>
      <protection/>
    </xf>
    <xf numFmtId="0" fontId="15" fillId="0" borderId="0" xfId="99" applyFont="1" applyAlignment="1" applyProtection="1">
      <alignment vertical="center"/>
      <protection/>
    </xf>
    <xf numFmtId="0" fontId="15" fillId="0" borderId="0" xfId="96" applyFont="1" applyBorder="1" applyAlignment="1" applyProtection="1">
      <alignment horizontal="left" vertical="center"/>
      <protection/>
    </xf>
    <xf numFmtId="0" fontId="16" fillId="0" borderId="0" xfId="96" applyFont="1" applyBorder="1" applyAlignment="1" applyProtection="1">
      <alignment horizontal="right" vertical="center"/>
      <protection/>
    </xf>
    <xf numFmtId="0" fontId="21" fillId="0" borderId="8" xfId="99" applyFont="1" applyBorder="1">
      <alignment/>
      <protection/>
    </xf>
    <xf numFmtId="0" fontId="18" fillId="0" borderId="8" xfId="96" applyFont="1" applyBorder="1">
      <alignment/>
      <protection/>
    </xf>
    <xf numFmtId="0" fontId="18" fillId="0" borderId="8" xfId="99" applyFont="1" applyBorder="1">
      <alignment/>
      <protection/>
    </xf>
    <xf numFmtId="180" fontId="15" fillId="0" borderId="0" xfId="99" applyNumberFormat="1" applyFont="1" applyAlignment="1">
      <alignment vertical="center"/>
      <protection/>
    </xf>
    <xf numFmtId="0" fontId="15" fillId="0" borderId="0" xfId="96" applyFont="1" applyAlignment="1">
      <alignment vertical="center"/>
      <protection/>
    </xf>
    <xf numFmtId="0" fontId="17" fillId="0" borderId="0" xfId="0" applyFont="1" applyAlignment="1">
      <alignment vertical="center"/>
    </xf>
    <xf numFmtId="0" fontId="18" fillId="0" borderId="13" xfId="0" applyFont="1" applyFill="1" applyBorder="1" applyAlignment="1" applyProtection="1">
      <alignment vertical="center" wrapText="1"/>
      <protection/>
    </xf>
    <xf numFmtId="0" fontId="18" fillId="45" borderId="14" xfId="0" applyFont="1" applyFill="1" applyBorder="1" applyAlignment="1" applyProtection="1">
      <alignment horizontal="center" vertical="center" wrapText="1"/>
      <protection/>
    </xf>
    <xf numFmtId="0" fontId="23" fillId="0" borderId="0" xfId="96" applyFont="1" applyBorder="1" applyAlignment="1" applyProtection="1">
      <alignment horizontal="left" vertical="center"/>
      <protection/>
    </xf>
    <xf numFmtId="0" fontId="23" fillId="0" borderId="0" xfId="0" applyFont="1" applyBorder="1" applyAlignment="1">
      <alignment horizontal="right"/>
    </xf>
    <xf numFmtId="0" fontId="23" fillId="0" borderId="0" xfId="0" applyFont="1" applyBorder="1" applyAlignment="1">
      <alignment vertical="center"/>
    </xf>
    <xf numFmtId="0" fontId="23" fillId="0" borderId="0" xfId="0" applyFont="1" applyBorder="1" applyAlignment="1">
      <alignment horizontal="right" vertical="center"/>
    </xf>
    <xf numFmtId="0" fontId="0" fillId="0" borderId="0" xfId="0" applyFont="1" applyAlignment="1">
      <alignment vertical="center"/>
    </xf>
    <xf numFmtId="0" fontId="23" fillId="0" borderId="0" xfId="0" applyFont="1" applyFill="1" applyBorder="1" applyAlignment="1">
      <alignment vertical="center"/>
    </xf>
    <xf numFmtId="0" fontId="18" fillId="0" borderId="10" xfId="0" applyFont="1" applyFill="1" applyBorder="1" applyAlignment="1" applyProtection="1">
      <alignment vertical="center"/>
      <protection/>
    </xf>
    <xf numFmtId="0" fontId="20" fillId="0" borderId="0" xfId="93" applyFont="1" applyFill="1" applyBorder="1" applyAlignment="1" applyProtection="1">
      <alignment horizontal="center" vertical="center"/>
      <protection locked="0"/>
    </xf>
    <xf numFmtId="0" fontId="0" fillId="0" borderId="0" xfId="87">
      <alignment/>
      <protection/>
    </xf>
    <xf numFmtId="0" fontId="0" fillId="0" borderId="0" xfId="87" applyAlignment="1">
      <alignment horizontal="center" vertical="top"/>
      <protection/>
    </xf>
    <xf numFmtId="0" fontId="0" fillId="0" borderId="0" xfId="87" applyAlignment="1">
      <alignment/>
      <protection/>
    </xf>
    <xf numFmtId="0" fontId="79" fillId="10" borderId="15" xfId="23" applyBorder="1" applyAlignment="1" applyProtection="1">
      <alignment horizontal="left" vertical="top" wrapText="1"/>
      <protection locked="0"/>
    </xf>
    <xf numFmtId="0" fontId="79" fillId="10" borderId="15" xfId="23" applyBorder="1" applyAlignment="1" applyProtection="1">
      <alignment horizontal="center" vertical="top"/>
      <protection locked="0"/>
    </xf>
    <xf numFmtId="0" fontId="79" fillId="10" borderId="16" xfId="23" applyBorder="1" applyAlignment="1">
      <alignment vertical="top" wrapText="1"/>
    </xf>
    <xf numFmtId="0" fontId="79" fillId="19" borderId="17" xfId="33" applyBorder="1" applyAlignment="1" applyProtection="1">
      <alignment horizontal="left" vertical="top" wrapText="1"/>
      <protection locked="0"/>
    </xf>
    <xf numFmtId="0" fontId="79" fillId="19" borderId="17" xfId="33" applyBorder="1" applyAlignment="1" applyProtection="1">
      <alignment horizontal="center" vertical="top"/>
      <protection locked="0"/>
    </xf>
    <xf numFmtId="0" fontId="79" fillId="19" borderId="18" xfId="33" applyBorder="1" applyAlignment="1">
      <alignment vertical="top" wrapText="1"/>
    </xf>
    <xf numFmtId="0" fontId="79" fillId="10" borderId="17" xfId="23" applyBorder="1" applyAlignment="1" applyProtection="1">
      <alignment horizontal="left" vertical="top" wrapText="1"/>
      <protection locked="0"/>
    </xf>
    <xf numFmtId="0" fontId="79" fillId="10" borderId="17" xfId="23" applyBorder="1" applyAlignment="1" applyProtection="1">
      <alignment horizontal="center" vertical="top"/>
      <protection locked="0"/>
    </xf>
    <xf numFmtId="0" fontId="79" fillId="10" borderId="18" xfId="23" applyBorder="1" applyAlignment="1">
      <alignment vertical="top" wrapText="1"/>
    </xf>
    <xf numFmtId="0" fontId="79" fillId="19" borderId="19" xfId="33" applyBorder="1" applyAlignment="1" applyProtection="1">
      <alignment horizontal="center" vertical="top"/>
      <protection locked="0"/>
    </xf>
    <xf numFmtId="0" fontId="79" fillId="19" borderId="20" xfId="33" applyBorder="1" applyAlignment="1">
      <alignment vertical="top" wrapText="1"/>
    </xf>
    <xf numFmtId="0" fontId="79" fillId="11" borderId="21" xfId="24" applyBorder="1" applyAlignment="1" applyProtection="1">
      <alignment horizontal="left" vertical="top" wrapText="1"/>
      <protection locked="0"/>
    </xf>
    <xf numFmtId="0" fontId="79" fillId="11" borderId="19" xfId="24" applyBorder="1" applyAlignment="1" applyProtection="1">
      <alignment horizontal="center" vertical="top"/>
      <protection locked="0"/>
    </xf>
    <xf numFmtId="0" fontId="79" fillId="11" borderId="18" xfId="24" applyBorder="1" applyAlignment="1">
      <alignment vertical="top" wrapText="1"/>
    </xf>
    <xf numFmtId="0" fontId="80" fillId="36" borderId="22" xfId="52" applyBorder="1" applyAlignment="1">
      <alignment horizontal="center" vertical="center" textRotation="90" wrapText="1"/>
    </xf>
    <xf numFmtId="0" fontId="79" fillId="17" borderId="19" xfId="31" applyBorder="1" applyAlignment="1" applyProtection="1">
      <alignment horizontal="left" vertical="top" wrapText="1"/>
      <protection locked="0"/>
    </xf>
    <xf numFmtId="0" fontId="79" fillId="17" borderId="19" xfId="31" applyBorder="1" applyAlignment="1" applyProtection="1">
      <alignment horizontal="center" vertical="top"/>
      <protection locked="0"/>
    </xf>
    <xf numFmtId="0" fontId="79" fillId="17" borderId="22" xfId="31" applyBorder="1" applyAlignment="1">
      <alignment vertical="top" wrapText="1"/>
    </xf>
    <xf numFmtId="0" fontId="80" fillId="33" borderId="20" xfId="49" applyBorder="1" applyAlignment="1">
      <alignment horizontal="center" vertical="center" textRotation="90" wrapText="1"/>
    </xf>
    <xf numFmtId="0" fontId="79" fillId="6" borderId="15" xfId="19" applyBorder="1" applyAlignment="1" applyProtection="1">
      <alignment horizontal="left" vertical="top" wrapText="1"/>
      <protection locked="0"/>
    </xf>
    <xf numFmtId="0" fontId="79" fillId="6" borderId="17" xfId="19" applyBorder="1" applyAlignment="1" applyProtection="1">
      <alignment horizontal="center" vertical="top"/>
      <protection locked="0"/>
    </xf>
    <xf numFmtId="0" fontId="79" fillId="6" borderId="16" xfId="19" applyBorder="1" applyAlignment="1">
      <alignment vertical="top" wrapText="1"/>
    </xf>
    <xf numFmtId="0" fontId="79" fillId="15" borderId="17" xfId="29" applyBorder="1" applyAlignment="1" applyProtection="1">
      <alignment horizontal="left" vertical="top" wrapText="1"/>
      <protection locked="0"/>
    </xf>
    <xf numFmtId="0" fontId="79" fillId="15" borderId="17" xfId="29" applyBorder="1" applyAlignment="1" applyProtection="1">
      <alignment horizontal="center" vertical="top"/>
      <protection locked="0"/>
    </xf>
    <xf numFmtId="0" fontId="79" fillId="15" borderId="18" xfId="29" applyBorder="1" applyAlignment="1">
      <alignment vertical="top" wrapText="1"/>
    </xf>
    <xf numFmtId="0" fontId="79" fillId="2" borderId="15" xfId="15" applyBorder="1" applyAlignment="1" applyProtection="1">
      <alignment horizontal="left" vertical="top" wrapText="1"/>
      <protection locked="0"/>
    </xf>
    <xf numFmtId="0" fontId="79" fillId="2" borderId="15" xfId="15" applyBorder="1" applyAlignment="1" applyProtection="1">
      <alignment horizontal="center" vertical="top"/>
      <protection locked="0"/>
    </xf>
    <xf numFmtId="0" fontId="79" fillId="2" borderId="16" xfId="15" applyBorder="1" applyAlignment="1">
      <alignment vertical="top" wrapText="1"/>
    </xf>
    <xf numFmtId="0" fontId="79" fillId="12" borderId="17" xfId="26" applyBorder="1" applyAlignment="1" applyProtection="1">
      <alignment horizontal="left" vertical="top" wrapText="1"/>
      <protection locked="0"/>
    </xf>
    <xf numFmtId="0" fontId="79" fillId="12" borderId="17" xfId="26" applyBorder="1" applyAlignment="1" applyProtection="1">
      <alignment horizontal="center" vertical="top"/>
      <protection locked="0"/>
    </xf>
    <xf numFmtId="0" fontId="79" fillId="12" borderId="18" xfId="26" applyBorder="1" applyAlignment="1">
      <alignment vertical="top" wrapText="1"/>
    </xf>
    <xf numFmtId="0" fontId="79" fillId="2" borderId="17" xfId="15" applyBorder="1" applyAlignment="1" applyProtection="1">
      <alignment horizontal="left" vertical="top" wrapText="1"/>
      <protection locked="0"/>
    </xf>
    <xf numFmtId="0" fontId="79" fillId="2" borderId="17" xfId="15" applyBorder="1" applyAlignment="1" applyProtection="1">
      <alignment horizontal="center" vertical="top"/>
      <protection locked="0"/>
    </xf>
    <xf numFmtId="0" fontId="79" fillId="2" borderId="18" xfId="15" applyBorder="1" applyAlignment="1">
      <alignment vertical="top" wrapText="1"/>
    </xf>
    <xf numFmtId="0" fontId="79" fillId="12" borderId="19" xfId="26" applyBorder="1" applyAlignment="1" applyProtection="1">
      <alignment horizontal="center" vertical="top"/>
      <protection locked="0"/>
    </xf>
    <xf numFmtId="0" fontId="79" fillId="12" borderId="20" xfId="26" applyBorder="1" applyAlignment="1">
      <alignment vertical="top" wrapText="1"/>
    </xf>
    <xf numFmtId="0" fontId="79" fillId="4" borderId="15" xfId="17" applyBorder="1" applyAlignment="1" applyProtection="1">
      <alignment horizontal="left" vertical="top" wrapText="1"/>
      <protection locked="0"/>
    </xf>
    <xf numFmtId="0" fontId="79" fillId="4" borderId="15" xfId="17" applyBorder="1" applyAlignment="1" applyProtection="1">
      <alignment horizontal="center" vertical="top"/>
      <protection locked="0"/>
    </xf>
    <xf numFmtId="0" fontId="79" fillId="4" borderId="16" xfId="17" applyBorder="1" applyAlignment="1">
      <alignment vertical="top" wrapText="1"/>
    </xf>
    <xf numFmtId="0" fontId="79" fillId="14" borderId="17" xfId="28" applyBorder="1" applyAlignment="1" applyProtection="1">
      <alignment horizontal="left" vertical="top" wrapText="1"/>
      <protection locked="0"/>
    </xf>
    <xf numFmtId="0" fontId="79" fillId="14" borderId="17" xfId="28" applyBorder="1" applyAlignment="1" applyProtection="1">
      <alignment horizontal="center" vertical="top"/>
      <protection locked="0"/>
    </xf>
    <xf numFmtId="0" fontId="79" fillId="14" borderId="18" xfId="28" applyBorder="1" applyAlignment="1">
      <alignment vertical="top" wrapText="1"/>
    </xf>
    <xf numFmtId="0" fontId="79" fillId="4" borderId="17" xfId="17" applyBorder="1" applyAlignment="1" applyProtection="1">
      <alignment horizontal="left" vertical="top" wrapText="1"/>
      <protection locked="0"/>
    </xf>
    <xf numFmtId="0" fontId="79" fillId="4" borderId="17" xfId="17" applyBorder="1" applyAlignment="1" applyProtection="1">
      <alignment horizontal="center" vertical="top"/>
      <protection locked="0"/>
    </xf>
    <xf numFmtId="0" fontId="79" fillId="4" borderId="18" xfId="17" applyBorder="1" applyAlignment="1">
      <alignment vertical="top" wrapText="1"/>
    </xf>
    <xf numFmtId="0" fontId="79" fillId="19" borderId="15" xfId="33" applyBorder="1" applyAlignment="1" applyProtection="1">
      <alignment vertical="top" wrapText="1"/>
      <protection locked="0"/>
    </xf>
    <xf numFmtId="0" fontId="79" fillId="19" borderId="15" xfId="33" applyBorder="1" applyAlignment="1" applyProtection="1">
      <alignment horizontal="center" vertical="top"/>
      <protection locked="0"/>
    </xf>
    <xf numFmtId="0" fontId="79" fillId="19" borderId="16" xfId="33" applyBorder="1" applyAlignment="1">
      <alignment vertical="top" wrapText="1"/>
    </xf>
    <xf numFmtId="0" fontId="79" fillId="10" borderId="17" xfId="23" applyBorder="1" applyAlignment="1" applyProtection="1">
      <alignment vertical="top" wrapText="1"/>
      <protection locked="0"/>
    </xf>
    <xf numFmtId="0" fontId="79" fillId="19" borderId="19" xfId="33" applyBorder="1" applyAlignment="1" applyProtection="1">
      <alignment vertical="top" wrapText="1"/>
      <protection locked="0"/>
    </xf>
    <xf numFmtId="0" fontId="79" fillId="11" borderId="15" xfId="24" applyBorder="1" applyAlignment="1" applyProtection="1">
      <alignment horizontal="left" vertical="top" wrapText="1"/>
      <protection locked="0"/>
    </xf>
    <xf numFmtId="0" fontId="79" fillId="11" borderId="17" xfId="24" applyBorder="1" applyAlignment="1" applyProtection="1">
      <alignment horizontal="center" vertical="top"/>
      <protection locked="0"/>
    </xf>
    <xf numFmtId="0" fontId="79" fillId="11" borderId="16" xfId="24" applyBorder="1" applyAlignment="1">
      <alignment vertical="top" wrapText="1"/>
    </xf>
    <xf numFmtId="0" fontId="79" fillId="20" borderId="17" xfId="35" applyBorder="1" applyAlignment="1" applyProtection="1">
      <alignment horizontal="left" vertical="top" wrapText="1"/>
      <protection locked="0"/>
    </xf>
    <xf numFmtId="0" fontId="79" fillId="20" borderId="17" xfId="35" applyBorder="1" applyAlignment="1" applyProtection="1">
      <alignment horizontal="center" vertical="top"/>
      <protection locked="0"/>
    </xf>
    <xf numFmtId="0" fontId="79" fillId="20" borderId="18" xfId="35" applyBorder="1" applyAlignment="1">
      <alignment vertical="top" wrapText="1"/>
    </xf>
    <xf numFmtId="0" fontId="79" fillId="11" borderId="17" xfId="24" applyBorder="1" applyAlignment="1" applyProtection="1">
      <alignment horizontal="left" vertical="top" wrapText="1"/>
      <protection locked="0"/>
    </xf>
    <xf numFmtId="0" fontId="79" fillId="8" borderId="17" xfId="21" applyBorder="1" applyAlignment="1" applyProtection="1">
      <alignment horizontal="left" vertical="top" wrapText="1"/>
      <protection locked="0"/>
    </xf>
    <xf numFmtId="0" fontId="79" fillId="8" borderId="17" xfId="21" applyBorder="1" applyAlignment="1" applyProtection="1">
      <alignment horizontal="center" vertical="top"/>
      <protection locked="0"/>
    </xf>
    <xf numFmtId="0" fontId="79" fillId="8" borderId="18" xfId="21" applyBorder="1" applyAlignment="1">
      <alignment vertical="top" wrapText="1"/>
    </xf>
    <xf numFmtId="0" fontId="79" fillId="17" borderId="17" xfId="31" applyBorder="1" applyAlignment="1" applyProtection="1">
      <alignment horizontal="left" vertical="top" wrapText="1"/>
      <protection locked="0"/>
    </xf>
    <xf numFmtId="0" fontId="79" fillId="17" borderId="17" xfId="31" applyBorder="1" applyAlignment="1" applyProtection="1">
      <alignment horizontal="center" vertical="top"/>
      <protection locked="0"/>
    </xf>
    <xf numFmtId="0" fontId="79" fillId="17" borderId="18" xfId="31" applyBorder="1" applyAlignment="1">
      <alignment vertical="top" wrapText="1"/>
    </xf>
    <xf numFmtId="0" fontId="79" fillId="15" borderId="15" xfId="29" applyBorder="1" applyAlignment="1" applyProtection="1">
      <alignment horizontal="left" vertical="top" wrapText="1"/>
      <protection locked="0"/>
    </xf>
    <xf numFmtId="0" fontId="79" fillId="15" borderId="15" xfId="29" applyBorder="1" applyAlignment="1" applyProtection="1">
      <alignment horizontal="center" vertical="top"/>
      <protection locked="0"/>
    </xf>
    <xf numFmtId="0" fontId="79" fillId="15" borderId="16" xfId="29" applyBorder="1" applyAlignment="1">
      <alignment vertical="top" wrapText="1"/>
    </xf>
    <xf numFmtId="0" fontId="79" fillId="6" borderId="17" xfId="19" applyBorder="1" applyAlignment="1" applyProtection="1">
      <alignment horizontal="left" vertical="top" wrapText="1"/>
      <protection locked="0"/>
    </xf>
    <xf numFmtId="0" fontId="79" fillId="6" borderId="18" xfId="19" applyBorder="1" applyAlignment="1">
      <alignment vertical="top" wrapText="1"/>
    </xf>
    <xf numFmtId="0" fontId="0" fillId="0" borderId="0" xfId="87" applyAlignment="1">
      <alignment vertical="center"/>
      <protection/>
    </xf>
    <xf numFmtId="0" fontId="91" fillId="44" borderId="21" xfId="109" applyFont="1" applyBorder="1" applyAlignment="1">
      <alignment horizontal="left" vertical="center"/>
    </xf>
    <xf numFmtId="0" fontId="91" fillId="44" borderId="21" xfId="109" applyFont="1" applyBorder="1" applyAlignment="1">
      <alignment horizontal="center" vertical="top"/>
    </xf>
    <xf numFmtId="0" fontId="91" fillId="44" borderId="21" xfId="109" applyFont="1" applyBorder="1" applyAlignment="1">
      <alignment vertical="center"/>
    </xf>
    <xf numFmtId="0" fontId="91" fillId="44" borderId="22" xfId="109" applyFont="1" applyBorder="1" applyAlignment="1">
      <alignment vertical="center"/>
    </xf>
    <xf numFmtId="0" fontId="21" fillId="0" borderId="0" xfId="87" applyFont="1">
      <alignment/>
      <protection/>
    </xf>
    <xf numFmtId="0" fontId="21" fillId="0" borderId="21" xfId="87" applyFont="1" applyBorder="1" applyAlignment="1" applyProtection="1">
      <alignment horizontal="left" vertical="top" indent="1"/>
      <protection locked="0"/>
    </xf>
    <xf numFmtId="0" fontId="21" fillId="0" borderId="21" xfId="87" applyFont="1" applyBorder="1" applyAlignment="1">
      <alignment horizontal="center" vertical="top" wrapText="1"/>
      <protection/>
    </xf>
    <xf numFmtId="0" fontId="21" fillId="0" borderId="22" xfId="87" applyFont="1" applyBorder="1" applyAlignment="1" applyProtection="1">
      <alignment horizontal="left" vertical="top" wrapText="1" indent="1"/>
      <protection locked="0"/>
    </xf>
    <xf numFmtId="169" fontId="21" fillId="0" borderId="21" xfId="87" applyNumberFormat="1" applyFont="1" applyBorder="1" applyAlignment="1" applyProtection="1">
      <alignment horizontal="left" vertical="top" indent="1"/>
      <protection locked="0"/>
    </xf>
    <xf numFmtId="0" fontId="21" fillId="0" borderId="0" xfId="87" applyFont="1" applyAlignment="1">
      <alignment horizontal="center" vertical="top"/>
      <protection/>
    </xf>
    <xf numFmtId="0" fontId="22" fillId="0" borderId="0" xfId="87" applyFont="1">
      <alignment/>
      <protection/>
    </xf>
    <xf numFmtId="0" fontId="18" fillId="0" borderId="0" xfId="87" applyFont="1">
      <alignment/>
      <protection/>
    </xf>
    <xf numFmtId="0" fontId="18" fillId="0" borderId="0" xfId="87" applyFont="1" applyAlignment="1">
      <alignment horizontal="center" vertical="top"/>
      <protection/>
    </xf>
    <xf numFmtId="0" fontId="53" fillId="0" borderId="0" xfId="87" applyFont="1">
      <alignment/>
      <protection/>
    </xf>
    <xf numFmtId="0" fontId="18" fillId="46" borderId="23" xfId="0" applyFont="1" applyFill="1" applyBorder="1" applyAlignment="1" applyProtection="1">
      <alignment horizontal="center" vertical="center" wrapText="1"/>
      <protection/>
    </xf>
    <xf numFmtId="0" fontId="27" fillId="0" borderId="8" xfId="0" applyFont="1" applyBorder="1" applyAlignment="1">
      <alignment vertical="center"/>
    </xf>
    <xf numFmtId="164" fontId="26" fillId="0" borderId="8" xfId="0" applyNumberFormat="1" applyFont="1" applyBorder="1" applyAlignment="1">
      <alignment vertical="center"/>
    </xf>
    <xf numFmtId="0" fontId="18" fillId="0" borderId="8" xfId="0" applyFont="1" applyBorder="1" applyAlignment="1">
      <alignment vertical="center"/>
    </xf>
    <xf numFmtId="0" fontId="55" fillId="0" borderId="8" xfId="0" applyFont="1" applyBorder="1" applyAlignment="1">
      <alignment horizontal="left" vertical="center"/>
    </xf>
    <xf numFmtId="0" fontId="55" fillId="0" borderId="8" xfId="0" applyFont="1" applyBorder="1" applyAlignment="1" quotePrefix="1">
      <alignment horizontal="left"/>
    </xf>
    <xf numFmtId="0" fontId="55" fillId="0" borderId="8" xfId="0" applyFont="1" applyBorder="1" applyAlignment="1">
      <alignment horizontal="left"/>
    </xf>
    <xf numFmtId="0" fontId="14" fillId="0" borderId="0" xfId="0" applyFont="1" applyFill="1" applyBorder="1" applyAlignment="1">
      <alignment/>
    </xf>
    <xf numFmtId="0" fontId="23" fillId="0" borderId="0" xfId="91" applyFont="1" applyFill="1" applyBorder="1" applyAlignment="1" applyProtection="1">
      <alignment horizontal="right"/>
      <protection/>
    </xf>
    <xf numFmtId="0" fontId="0" fillId="0" borderId="0" xfId="0" applyFont="1" applyFill="1" applyBorder="1" applyAlignment="1">
      <alignment/>
    </xf>
    <xf numFmtId="0" fontId="18" fillId="0" borderId="0" xfId="105" applyFont="1" applyBorder="1" applyAlignment="1">
      <alignment horizontal="center" vertical="center"/>
      <protection/>
    </xf>
    <xf numFmtId="0" fontId="18" fillId="0" borderId="0" xfId="105" applyFont="1" applyBorder="1">
      <alignment/>
      <protection/>
    </xf>
    <xf numFmtId="165" fontId="18" fillId="0" borderId="0" xfId="103" applyFont="1" applyBorder="1" applyAlignment="1">
      <alignment/>
      <protection/>
    </xf>
    <xf numFmtId="165" fontId="18" fillId="0" borderId="0" xfId="103" applyFont="1" applyBorder="1" applyAlignment="1">
      <alignment horizontal="left"/>
      <protection/>
    </xf>
    <xf numFmtId="0" fontId="23" fillId="0" borderId="0" xfId="0" applyFont="1" applyBorder="1" applyAlignment="1">
      <alignment/>
    </xf>
    <xf numFmtId="165" fontId="21" fillId="0" borderId="0" xfId="106" applyFont="1" applyFill="1" applyAlignment="1">
      <alignment horizontal="center" vertical="top"/>
      <protection/>
    </xf>
    <xf numFmtId="165" fontId="21" fillId="0" borderId="0" xfId="106" applyFont="1" applyFill="1" applyAlignment="1">
      <alignment vertical="top" wrapText="1"/>
      <protection/>
    </xf>
    <xf numFmtId="14" fontId="21" fillId="0" borderId="0" xfId="106" applyNumberFormat="1" applyFont="1" applyFill="1" applyAlignment="1">
      <alignment horizontal="center" vertical="top"/>
      <protection/>
    </xf>
    <xf numFmtId="165" fontId="0" fillId="0" borderId="0" xfId="0" applyNumberFormat="1" applyAlignment="1">
      <alignment/>
    </xf>
    <xf numFmtId="0" fontId="18" fillId="47" borderId="14" xfId="93" applyFont="1" applyFill="1" applyBorder="1" applyAlignment="1" applyProtection="1">
      <alignment horizontal="centerContinuous" vertical="center" wrapText="1"/>
      <protection/>
    </xf>
    <xf numFmtId="0" fontId="0" fillId="0" borderId="0" xfId="0" applyFont="1" applyFill="1" applyAlignment="1">
      <alignment/>
    </xf>
    <xf numFmtId="0" fontId="2" fillId="0" borderId="0" xfId="0" applyFont="1" applyFill="1" applyAlignment="1">
      <alignment/>
    </xf>
    <xf numFmtId="0" fontId="21" fillId="0" borderId="0" xfId="0" applyFont="1" applyFill="1" applyBorder="1" applyAlignment="1">
      <alignment vertical="center"/>
    </xf>
    <xf numFmtId="0" fontId="20" fillId="0" borderId="24" xfId="93" applyFont="1" applyFill="1" applyBorder="1" applyAlignment="1" applyProtection="1">
      <alignment horizontal="center" vertical="center"/>
      <protection locked="0"/>
    </xf>
    <xf numFmtId="165" fontId="21" fillId="0" borderId="0" xfId="103" applyFont="1" applyAlignment="1">
      <alignment vertical="top"/>
      <protection/>
    </xf>
    <xf numFmtId="165" fontId="18" fillId="0" borderId="0" xfId="103" applyFont="1" applyBorder="1" applyAlignment="1">
      <alignment horizontal="center" vertical="center"/>
      <protection/>
    </xf>
    <xf numFmtId="0" fontId="18" fillId="48" borderId="25" xfId="93" applyFont="1" applyFill="1" applyBorder="1" applyAlignment="1" applyProtection="1">
      <alignment vertical="center"/>
      <protection/>
    </xf>
    <xf numFmtId="0" fontId="2" fillId="0" borderId="0" xfId="0" applyFont="1" applyBorder="1" applyAlignment="1">
      <alignment vertical="center"/>
    </xf>
    <xf numFmtId="0" fontId="0" fillId="0" borderId="0" xfId="93" applyBorder="1" applyAlignment="1">
      <alignment vertical="center"/>
      <protection/>
    </xf>
    <xf numFmtId="0" fontId="18" fillId="49" borderId="23" xfId="87" applyFont="1" applyFill="1" applyBorder="1" applyAlignment="1" applyProtection="1">
      <alignment horizontal="center" vertical="center" wrapText="1"/>
      <protection/>
    </xf>
    <xf numFmtId="182" fontId="21" fillId="0" borderId="0" xfId="0" applyNumberFormat="1" applyFont="1" applyFill="1" applyBorder="1" applyAlignment="1">
      <alignment vertical="center"/>
    </xf>
    <xf numFmtId="0" fontId="18" fillId="0" borderId="0" xfId="0" applyFont="1" applyBorder="1" applyAlignment="1">
      <alignment horizontal="right" vertical="center"/>
    </xf>
    <xf numFmtId="0" fontId="0" fillId="0" borderId="0" xfId="0" applyFont="1" applyBorder="1" applyAlignment="1">
      <alignment vertical="center"/>
    </xf>
    <xf numFmtId="186" fontId="20" fillId="0" borderId="0" xfId="0" applyNumberFormat="1" applyFont="1" applyBorder="1" applyAlignment="1">
      <alignment/>
    </xf>
    <xf numFmtId="186" fontId="20" fillId="0" borderId="0" xfId="0" applyNumberFormat="1" applyFont="1" applyBorder="1" applyAlignment="1">
      <alignment vertical="center"/>
    </xf>
    <xf numFmtId="0" fontId="23" fillId="0" borderId="0" xfId="0" applyFont="1" applyFill="1" applyBorder="1" applyAlignment="1">
      <alignment/>
    </xf>
    <xf numFmtId="186" fontId="20" fillId="0" borderId="0" xfId="0" applyNumberFormat="1" applyFont="1" applyBorder="1" applyAlignment="1">
      <alignment/>
    </xf>
    <xf numFmtId="0" fontId="0" fillId="0" borderId="0" xfId="0" applyFont="1" applyFill="1" applyBorder="1" applyAlignment="1">
      <alignment/>
    </xf>
    <xf numFmtId="0" fontId="52" fillId="0" borderId="0" xfId="0" applyFont="1" applyFill="1" applyBorder="1" applyAlignment="1">
      <alignment vertical="center" wrapText="1"/>
    </xf>
    <xf numFmtId="165" fontId="24" fillId="0" borderId="26" xfId="103" applyFont="1" applyBorder="1" applyAlignment="1">
      <alignment horizontal="center" vertical="center"/>
      <protection/>
    </xf>
    <xf numFmtId="0" fontId="2" fillId="0" borderId="8" xfId="0" applyFont="1" applyFill="1" applyBorder="1" applyAlignment="1" applyProtection="1">
      <alignment vertical="center"/>
      <protection/>
    </xf>
    <xf numFmtId="20" fontId="20" fillId="0" borderId="23" xfId="93" applyNumberFormat="1" applyFont="1" applyFill="1" applyBorder="1" applyAlignment="1" applyProtection="1">
      <alignment horizontal="center" vertical="center"/>
      <protection locked="0"/>
    </xf>
    <xf numFmtId="0" fontId="18" fillId="50" borderId="23" xfId="0" applyFont="1" applyFill="1" applyBorder="1" applyAlignment="1">
      <alignment horizontal="center" vertical="center"/>
    </xf>
    <xf numFmtId="0" fontId="20" fillId="0" borderId="23" xfId="93" applyFont="1" applyFill="1" applyBorder="1" applyAlignment="1" applyProtection="1">
      <alignment horizontal="center" vertical="center"/>
      <protection locked="0"/>
    </xf>
    <xf numFmtId="0" fontId="20" fillId="0" borderId="27" xfId="93" applyFont="1" applyFill="1" applyBorder="1" applyAlignment="1" applyProtection="1">
      <alignment horizontal="center" vertical="center"/>
      <protection locked="0"/>
    </xf>
    <xf numFmtId="0" fontId="20" fillId="51" borderId="28" xfId="93" applyFont="1" applyFill="1" applyBorder="1" applyAlignment="1" applyProtection="1">
      <alignment horizontal="center" vertical="center"/>
      <protection/>
    </xf>
    <xf numFmtId="165" fontId="18" fillId="0" borderId="0" xfId="103" applyFont="1" applyAlignment="1">
      <alignment vertical="center"/>
      <protection/>
    </xf>
    <xf numFmtId="165" fontId="18" fillId="0" borderId="0" xfId="103" applyFont="1" applyBorder="1" applyAlignment="1">
      <alignment horizontal="right" vertical="center"/>
      <protection/>
    </xf>
    <xf numFmtId="165" fontId="18" fillId="0" borderId="0" xfId="103" applyFont="1" applyAlignment="1">
      <alignment horizontal="right" vertical="center"/>
      <protection/>
    </xf>
    <xf numFmtId="165" fontId="18" fillId="0" borderId="0" xfId="103" applyFont="1" applyAlignment="1">
      <alignment horizontal="left" vertical="center" indent="1"/>
      <protection/>
    </xf>
    <xf numFmtId="165" fontId="18" fillId="0" borderId="9" xfId="103" applyFont="1" applyBorder="1" applyAlignment="1">
      <alignment horizontal="left" vertical="center" indent="1"/>
      <protection/>
    </xf>
    <xf numFmtId="165" fontId="18" fillId="0" borderId="9" xfId="103" applyFont="1" applyBorder="1" applyAlignment="1">
      <alignment vertical="center"/>
      <protection/>
    </xf>
    <xf numFmtId="165" fontId="18" fillId="0" borderId="29" xfId="103" applyFont="1" applyBorder="1" applyAlignment="1">
      <alignment horizontal="left" indent="1"/>
      <protection/>
    </xf>
    <xf numFmtId="165" fontId="18" fillId="0" borderId="29" xfId="103" applyFont="1" applyBorder="1" applyAlignment="1">
      <alignment vertical="center"/>
      <protection/>
    </xf>
    <xf numFmtId="165" fontId="18" fillId="0" borderId="29" xfId="103" applyFont="1" applyBorder="1" applyAlignment="1">
      <alignment horizontal="left" vertical="center" indent="1"/>
      <protection/>
    </xf>
    <xf numFmtId="165" fontId="18" fillId="0" borderId="29" xfId="103" applyFont="1" applyBorder="1" applyAlignment="1">
      <alignment/>
      <protection/>
    </xf>
    <xf numFmtId="14" fontId="18" fillId="0" borderId="9" xfId="103" applyNumberFormat="1" applyFont="1" applyBorder="1" applyAlignment="1">
      <alignment horizontal="left" vertical="center" indent="1"/>
      <protection/>
    </xf>
    <xf numFmtId="165" fontId="18" fillId="0" borderId="9" xfId="103" applyFont="1" applyBorder="1" applyAlignment="1">
      <alignment horizontal="left" indent="1"/>
      <protection/>
    </xf>
    <xf numFmtId="165" fontId="18" fillId="0" borderId="0" xfId="103" applyFont="1" applyBorder="1" applyAlignment="1">
      <alignment horizontal="right" indent="1"/>
      <protection/>
    </xf>
    <xf numFmtId="0" fontId="54" fillId="0" borderId="8" xfId="0" applyNumberFormat="1" applyFont="1" applyFill="1" applyBorder="1" applyAlignment="1" applyProtection="1">
      <alignment/>
      <protection/>
    </xf>
    <xf numFmtId="0" fontId="21" fillId="0" borderId="0" xfId="106" applyNumberFormat="1" applyFont="1" applyFill="1" applyAlignment="1">
      <alignment vertical="top"/>
      <protection/>
    </xf>
    <xf numFmtId="165" fontId="21" fillId="0" borderId="0" xfId="106" applyFont="1" applyFill="1" applyAlignment="1">
      <alignment vertical="top" wrapText="1"/>
      <protection/>
    </xf>
    <xf numFmtId="0" fontId="2" fillId="52" borderId="30" xfId="0" applyFont="1" applyFill="1" applyBorder="1" applyAlignment="1">
      <alignment horizontal="center" vertical="center"/>
    </xf>
    <xf numFmtId="0" fontId="2" fillId="53" borderId="8" xfId="0" applyFont="1" applyFill="1" applyBorder="1" applyAlignment="1">
      <alignment horizontal="center" vertical="center"/>
    </xf>
    <xf numFmtId="0" fontId="2" fillId="54" borderId="31" xfId="0" applyFont="1" applyFill="1" applyBorder="1" applyAlignment="1">
      <alignment horizontal="center" vertical="center"/>
    </xf>
    <xf numFmtId="20" fontId="20" fillId="0" borderId="32" xfId="0" applyNumberFormat="1" applyFont="1" applyFill="1" applyBorder="1" applyAlignment="1" applyProtection="1">
      <alignment horizontal="center" vertical="center"/>
      <protection locked="0"/>
    </xf>
    <xf numFmtId="0" fontId="18" fillId="55" borderId="32" xfId="0" applyFont="1" applyFill="1" applyBorder="1" applyAlignment="1">
      <alignment horizontal="center" vertical="center"/>
    </xf>
    <xf numFmtId="0" fontId="20" fillId="0" borderId="32" xfId="93" applyFont="1" applyFill="1" applyBorder="1" applyAlignment="1" applyProtection="1">
      <alignment horizontal="center" vertical="center"/>
      <protection locked="0"/>
    </xf>
    <xf numFmtId="0" fontId="20" fillId="0" borderId="33" xfId="93" applyFont="1" applyFill="1" applyBorder="1" applyAlignment="1" applyProtection="1">
      <alignment horizontal="center" vertical="center"/>
      <protection locked="0"/>
    </xf>
    <xf numFmtId="0" fontId="21" fillId="0" borderId="0" xfId="102" applyFont="1" applyFill="1" applyBorder="1" applyAlignment="1">
      <alignment vertical="top" wrapText="1"/>
      <protection/>
    </xf>
    <xf numFmtId="165" fontId="10" fillId="0" borderId="0" xfId="0" applyNumberFormat="1" applyFont="1" applyAlignment="1">
      <alignment/>
    </xf>
    <xf numFmtId="0" fontId="18" fillId="56" borderId="34" xfId="0" applyFont="1" applyFill="1" applyBorder="1" applyAlignment="1">
      <alignment horizontal="center" vertical="center"/>
    </xf>
    <xf numFmtId="0" fontId="2" fillId="57" borderId="35" xfId="0" applyFont="1" applyFill="1" applyBorder="1" applyAlignment="1">
      <alignment horizontal="center" vertical="center"/>
    </xf>
    <xf numFmtId="0" fontId="2" fillId="58" borderId="36" xfId="0" applyFont="1" applyFill="1" applyBorder="1" applyAlignment="1">
      <alignment horizontal="center" vertical="center"/>
    </xf>
    <xf numFmtId="0" fontId="2" fillId="59" borderId="37" xfId="0" applyFont="1" applyFill="1" applyBorder="1" applyAlignment="1">
      <alignment horizontal="center" vertical="center"/>
    </xf>
    <xf numFmtId="178" fontId="8" fillId="60" borderId="14" xfId="0" applyNumberFormat="1" applyFont="1" applyFill="1" applyBorder="1" applyAlignment="1" applyProtection="1">
      <alignment horizontal="center" vertical="center"/>
      <protection locked="0"/>
    </xf>
    <xf numFmtId="0" fontId="20" fillId="60" borderId="14" xfId="93" applyFont="1" applyFill="1" applyBorder="1" applyAlignment="1" applyProtection="1">
      <alignment horizontal="center" vertical="center"/>
      <protection locked="0"/>
    </xf>
    <xf numFmtId="14" fontId="21" fillId="0" borderId="0" xfId="103" applyNumberFormat="1" applyFont="1" applyFill="1" applyBorder="1" applyAlignment="1">
      <alignment horizontal="center" vertical="top"/>
      <protection/>
    </xf>
    <xf numFmtId="165" fontId="21" fillId="0" borderId="0" xfId="103" applyFont="1" applyFill="1" applyBorder="1" applyAlignment="1">
      <alignment vertical="top" wrapText="1"/>
      <protection/>
    </xf>
    <xf numFmtId="165" fontId="21" fillId="0" borderId="0" xfId="103" applyFont="1" applyFill="1" applyBorder="1" applyAlignment="1">
      <alignment horizontal="center" vertical="top"/>
      <protection/>
    </xf>
    <xf numFmtId="165" fontId="21" fillId="0" borderId="0" xfId="106" applyFont="1" applyFill="1" applyAlignment="1">
      <alignment horizontal="center" vertical="top"/>
      <protection/>
    </xf>
    <xf numFmtId="0" fontId="18" fillId="61" borderId="38" xfId="95" applyFont="1" applyFill="1" applyBorder="1" applyAlignment="1">
      <alignment horizontal="right" vertical="center"/>
      <protection/>
    </xf>
    <xf numFmtId="0" fontId="18" fillId="62" borderId="25" xfId="0" applyFont="1" applyFill="1" applyBorder="1" applyAlignment="1">
      <alignment vertical="center"/>
    </xf>
    <xf numFmtId="0" fontId="18" fillId="63" borderId="38" xfId="95" applyFont="1" applyFill="1" applyBorder="1" applyAlignment="1">
      <alignment horizontal="right" vertical="center"/>
      <protection/>
    </xf>
    <xf numFmtId="0" fontId="18" fillId="64" borderId="25" xfId="0" applyFont="1" applyFill="1" applyBorder="1" applyAlignment="1">
      <alignment vertical="center"/>
    </xf>
    <xf numFmtId="0" fontId="23" fillId="26" borderId="39" xfId="0" applyFont="1" applyFill="1" applyBorder="1" applyAlignment="1" applyProtection="1">
      <alignment horizontal="center" wrapText="1"/>
      <protection/>
    </xf>
    <xf numFmtId="0" fontId="23" fillId="26" borderId="40" xfId="0" applyFont="1" applyFill="1" applyBorder="1" applyAlignment="1" applyProtection="1">
      <alignment horizontal="center" wrapText="1"/>
      <protection/>
    </xf>
    <xf numFmtId="0" fontId="0" fillId="26" borderId="22" xfId="0" applyFont="1" applyFill="1" applyBorder="1" applyAlignment="1" applyProtection="1">
      <alignment/>
      <protection/>
    </xf>
    <xf numFmtId="0" fontId="0" fillId="26" borderId="41" xfId="0" applyFill="1" applyBorder="1" applyAlignment="1" applyProtection="1">
      <alignment/>
      <protection/>
    </xf>
    <xf numFmtId="0" fontId="20" fillId="0" borderId="29" xfId="0" applyNumberFormat="1" applyFont="1" applyFill="1" applyBorder="1" applyAlignment="1" applyProtection="1">
      <alignment/>
      <protection/>
    </xf>
    <xf numFmtId="14" fontId="20" fillId="0" borderId="29" xfId="0" applyNumberFormat="1" applyFont="1" applyFill="1" applyBorder="1" applyAlignment="1" applyProtection="1">
      <alignment/>
      <protection/>
    </xf>
    <xf numFmtId="0" fontId="20" fillId="0" borderId="29" xfId="0" applyFont="1" applyFill="1" applyBorder="1" applyAlignment="1" applyProtection="1">
      <alignment/>
      <protection/>
    </xf>
    <xf numFmtId="0" fontId="20" fillId="0" borderId="29" xfId="0" applyFont="1" applyFill="1" applyBorder="1" applyAlignment="1" applyProtection="1">
      <alignment horizontal="center"/>
      <protection/>
    </xf>
    <xf numFmtId="0" fontId="20" fillId="0" borderId="42" xfId="0" applyFont="1" applyFill="1" applyBorder="1" applyAlignment="1" applyProtection="1">
      <alignment horizontal="center"/>
      <protection/>
    </xf>
    <xf numFmtId="0" fontId="20" fillId="0" borderId="29" xfId="0" applyFont="1" applyFill="1" applyBorder="1" applyAlignment="1" applyProtection="1">
      <alignment/>
      <protection/>
    </xf>
    <xf numFmtId="0" fontId="20" fillId="0" borderId="38" xfId="93" applyFont="1" applyFill="1" applyBorder="1" applyAlignment="1" applyProtection="1">
      <alignment horizontal="left" vertical="center" indent="1"/>
      <protection locked="0"/>
    </xf>
    <xf numFmtId="0" fontId="20" fillId="0" borderId="43" xfId="93" applyFont="1" applyFill="1" applyBorder="1" applyAlignment="1" applyProtection="1">
      <alignment horizontal="left" vertical="center" indent="1"/>
      <protection locked="0"/>
    </xf>
    <xf numFmtId="0" fontId="20" fillId="0" borderId="14" xfId="93" applyFont="1" applyFill="1" applyBorder="1" applyAlignment="1" applyProtection="1">
      <alignment horizontal="left" vertical="center" indent="1"/>
      <protection locked="0"/>
    </xf>
    <xf numFmtId="176" fontId="20" fillId="0" borderId="44" xfId="0" applyNumberFormat="1" applyFont="1" applyFill="1" applyBorder="1" applyAlignment="1" applyProtection="1">
      <alignment horizontal="center" vertical="center"/>
      <protection locked="0"/>
    </xf>
    <xf numFmtId="0" fontId="38" fillId="65" borderId="11" xfId="0" applyNumberFormat="1" applyFont="1" applyFill="1" applyBorder="1" applyAlignment="1" applyProtection="1">
      <alignment horizontal="center" vertical="center" wrapText="1"/>
      <protection/>
    </xf>
    <xf numFmtId="0" fontId="38" fillId="66" borderId="45" xfId="0" applyNumberFormat="1" applyFont="1" applyFill="1" applyBorder="1" applyAlignment="1" applyProtection="1">
      <alignment horizontal="center" vertical="center" wrapText="1"/>
      <protection/>
    </xf>
    <xf numFmtId="0" fontId="23" fillId="67" borderId="25" xfId="95" applyFont="1" applyFill="1" applyBorder="1" applyAlignment="1">
      <alignment horizontal="right" vertical="center"/>
      <protection/>
    </xf>
    <xf numFmtId="0" fontId="23" fillId="68" borderId="25" xfId="95" applyFont="1" applyFill="1" applyBorder="1" applyAlignment="1">
      <alignment horizontal="right" vertical="center"/>
      <protection/>
    </xf>
    <xf numFmtId="0" fontId="23" fillId="69" borderId="23" xfId="96" applyFont="1" applyFill="1" applyBorder="1" applyAlignment="1" applyProtection="1">
      <alignment horizontal="center" vertical="center"/>
      <protection/>
    </xf>
    <xf numFmtId="0" fontId="23" fillId="70" borderId="46" xfId="95" applyFont="1" applyFill="1" applyBorder="1" applyAlignment="1">
      <alignment horizontal="center" wrapText="1"/>
      <protection/>
    </xf>
    <xf numFmtId="0" fontId="23" fillId="71" borderId="46" xfId="95" applyFont="1" applyFill="1" applyBorder="1" applyAlignment="1">
      <alignment horizontal="center" wrapText="1"/>
      <protection/>
    </xf>
    <xf numFmtId="0" fontId="23" fillId="72" borderId="46" xfId="95" applyFont="1" applyFill="1" applyBorder="1" applyAlignment="1">
      <alignment horizontal="center" wrapText="1"/>
      <protection/>
    </xf>
    <xf numFmtId="0" fontId="23" fillId="73" borderId="46" xfId="95" applyFont="1" applyFill="1" applyBorder="1" applyAlignment="1">
      <alignment horizontal="center" wrapText="1"/>
      <protection/>
    </xf>
    <xf numFmtId="0" fontId="23" fillId="74" borderId="47" xfId="95" applyFont="1" applyFill="1" applyBorder="1" applyAlignment="1">
      <alignment horizontal="center" wrapText="1"/>
      <protection/>
    </xf>
    <xf numFmtId="0" fontId="20" fillId="0" borderId="48" xfId="93" applyFont="1" applyFill="1" applyBorder="1" applyAlignment="1" applyProtection="1">
      <alignment horizontal="left" vertical="center" indent="1"/>
      <protection locked="0"/>
    </xf>
    <xf numFmtId="0" fontId="18" fillId="75" borderId="49" xfId="93" applyFont="1" applyFill="1" applyBorder="1" applyAlignment="1" applyProtection="1">
      <alignment horizontal="right" vertical="center" indent="1"/>
      <protection/>
    </xf>
    <xf numFmtId="0" fontId="20" fillId="0" borderId="50" xfId="93" applyFont="1" applyFill="1" applyBorder="1" applyAlignment="1" applyProtection="1">
      <alignment horizontal="left" vertical="center" indent="1"/>
      <protection locked="0"/>
    </xf>
    <xf numFmtId="0" fontId="18" fillId="76" borderId="51" xfId="93" applyFont="1" applyFill="1" applyBorder="1" applyAlignment="1" applyProtection="1">
      <alignment vertical="center"/>
      <protection/>
    </xf>
    <xf numFmtId="0" fontId="18" fillId="77" borderId="51" xfId="93" applyFont="1" applyFill="1" applyBorder="1" applyAlignment="1" applyProtection="1">
      <alignment horizontal="right" vertical="center" indent="1"/>
      <protection/>
    </xf>
    <xf numFmtId="0" fontId="20" fillId="0" borderId="52" xfId="93" applyFont="1" applyFill="1" applyBorder="1" applyAlignment="1" applyProtection="1">
      <alignment horizontal="left" vertical="center" indent="1"/>
      <protection locked="0"/>
    </xf>
    <xf numFmtId="0" fontId="27" fillId="78" borderId="53" xfId="93" applyFont="1" applyFill="1" applyBorder="1" applyAlignment="1" applyProtection="1">
      <alignment horizontal="center" vertical="center"/>
      <protection/>
    </xf>
    <xf numFmtId="14" fontId="8" fillId="60" borderId="50" xfId="0" applyNumberFormat="1" applyFont="1" applyFill="1" applyBorder="1" applyAlignment="1" applyProtection="1">
      <alignment horizontal="center" vertical="center"/>
      <protection locked="0"/>
    </xf>
    <xf numFmtId="178" fontId="8" fillId="60" borderId="49" xfId="0" applyNumberFormat="1" applyFont="1" applyFill="1" applyBorder="1" applyAlignment="1" applyProtection="1">
      <alignment horizontal="center" vertical="center"/>
      <protection locked="0"/>
    </xf>
    <xf numFmtId="14" fontId="8" fillId="60" borderId="52" xfId="0" applyNumberFormat="1" applyFont="1" applyFill="1" applyBorder="1" applyAlignment="1" applyProtection="1">
      <alignment horizontal="center" vertical="center"/>
      <protection locked="0"/>
    </xf>
    <xf numFmtId="0" fontId="18" fillId="0" borderId="54" xfId="0" applyFont="1" applyFill="1" applyBorder="1" applyAlignment="1" applyProtection="1">
      <alignment vertical="center"/>
      <protection/>
    </xf>
    <xf numFmtId="0" fontId="18" fillId="79" borderId="55" xfId="0" applyFont="1" applyFill="1" applyBorder="1" applyAlignment="1" applyProtection="1">
      <alignment horizontal="center" vertical="center" wrapText="1"/>
      <protection/>
    </xf>
    <xf numFmtId="0" fontId="18" fillId="80" borderId="50" xfId="93" applyFont="1" applyFill="1" applyBorder="1" applyAlignment="1" applyProtection="1" quotePrefix="1">
      <alignment horizontal="center" vertical="center" wrapText="1"/>
      <protection/>
    </xf>
    <xf numFmtId="0" fontId="18" fillId="0" borderId="56" xfId="0" applyFont="1" applyFill="1" applyBorder="1" applyAlignment="1" applyProtection="1">
      <alignment vertical="center"/>
      <protection/>
    </xf>
    <xf numFmtId="10" fontId="23" fillId="81" borderId="11" xfId="113" applyNumberFormat="1" applyFont="1" applyFill="1" applyBorder="1" applyAlignment="1">
      <alignment horizontal="center" vertical="center"/>
    </xf>
    <xf numFmtId="0" fontId="18" fillId="82" borderId="11" xfId="93" applyFont="1" applyFill="1" applyBorder="1" applyAlignment="1" applyProtection="1">
      <alignment horizontal="right" vertical="center" indent="1"/>
      <protection/>
    </xf>
    <xf numFmtId="0" fontId="18" fillId="83" borderId="14" xfId="93" applyFont="1" applyFill="1" applyBorder="1" applyAlignment="1" applyProtection="1">
      <alignment horizontal="right" vertical="center" indent="1"/>
      <protection/>
    </xf>
    <xf numFmtId="0" fontId="18" fillId="84" borderId="53" xfId="93" applyFont="1" applyFill="1" applyBorder="1" applyAlignment="1" applyProtection="1">
      <alignment horizontal="right" vertical="center" indent="1"/>
      <protection/>
    </xf>
    <xf numFmtId="0" fontId="23" fillId="0" borderId="0" xfId="93" applyFont="1" applyBorder="1" applyAlignment="1" applyProtection="1">
      <alignment vertical="center"/>
      <protection/>
    </xf>
    <xf numFmtId="0" fontId="23" fillId="85" borderId="46" xfId="95" applyFont="1" applyFill="1" applyBorder="1" applyAlignment="1">
      <alignment horizontal="center" wrapText="1"/>
      <protection/>
    </xf>
    <xf numFmtId="0" fontId="23" fillId="86" borderId="46" xfId="95" applyFont="1" applyFill="1" applyBorder="1" applyAlignment="1">
      <alignment horizontal="center" wrapText="1"/>
      <protection/>
    </xf>
    <xf numFmtId="10" fontId="23" fillId="87" borderId="11" xfId="113" applyNumberFormat="1" applyFont="1" applyFill="1" applyBorder="1" applyAlignment="1">
      <alignment horizontal="center" vertical="center"/>
    </xf>
    <xf numFmtId="0" fontId="23" fillId="88" borderId="11" xfId="95" applyFont="1" applyFill="1" applyBorder="1" applyAlignment="1">
      <alignment horizontal="center" vertical="center"/>
      <protection/>
    </xf>
    <xf numFmtId="0" fontId="18" fillId="89" borderId="25" xfId="93" applyFont="1" applyFill="1" applyBorder="1" applyAlignment="1" applyProtection="1">
      <alignment horizontal="right" vertical="center" indent="1"/>
      <protection/>
    </xf>
    <xf numFmtId="0" fontId="18" fillId="90" borderId="43" xfId="93" applyFont="1" applyFill="1" applyBorder="1" applyAlignment="1" applyProtection="1">
      <alignment horizontal="right" vertical="center" indent="1"/>
      <protection/>
    </xf>
    <xf numFmtId="0" fontId="18" fillId="91" borderId="57" xfId="93" applyFont="1" applyFill="1" applyBorder="1" applyAlignment="1" applyProtection="1">
      <alignment horizontal="right" vertical="center" indent="1"/>
      <protection/>
    </xf>
    <xf numFmtId="0" fontId="18" fillId="92" borderId="58" xfId="93" applyFont="1" applyFill="1" applyBorder="1" applyAlignment="1" applyProtection="1">
      <alignment horizontal="center" vertical="center"/>
      <protection/>
    </xf>
    <xf numFmtId="0" fontId="18" fillId="93" borderId="14" xfId="93" applyFont="1" applyFill="1" applyBorder="1" applyAlignment="1" applyProtection="1">
      <alignment horizontal="center" vertical="center" wrapText="1"/>
      <protection/>
    </xf>
    <xf numFmtId="0" fontId="18" fillId="0" borderId="59" xfId="93" applyFont="1" applyBorder="1" applyAlignment="1" applyProtection="1">
      <alignment vertical="center"/>
      <protection/>
    </xf>
    <xf numFmtId="0" fontId="18" fillId="0" borderId="60" xfId="0" applyFont="1" applyFill="1" applyBorder="1" applyAlignment="1" applyProtection="1">
      <alignment horizontal="left" vertical="center" wrapText="1"/>
      <protection/>
    </xf>
    <xf numFmtId="0" fontId="18" fillId="94" borderId="38" xfId="93" applyFont="1" applyFill="1" applyBorder="1" applyAlignment="1" applyProtection="1">
      <alignment horizontal="center" vertical="center"/>
      <protection/>
    </xf>
    <xf numFmtId="0" fontId="18" fillId="95" borderId="43" xfId="93" applyFont="1" applyFill="1" applyBorder="1" applyAlignment="1" applyProtection="1">
      <alignment horizontal="right" vertical="center" indent="1"/>
      <protection/>
    </xf>
    <xf numFmtId="0" fontId="20" fillId="0" borderId="43" xfId="0" applyFont="1" applyFill="1" applyBorder="1" applyAlignment="1" applyProtection="1">
      <alignment horizontal="left" vertical="center" indent="1"/>
      <protection locked="0"/>
    </xf>
    <xf numFmtId="0" fontId="23" fillId="0" borderId="0" xfId="96" applyFont="1" applyBorder="1" applyAlignment="1" applyProtection="1">
      <alignment horizontal="right" vertical="center"/>
      <protection/>
    </xf>
    <xf numFmtId="0" fontId="60" fillId="0" borderId="0" xfId="96" applyFont="1" applyBorder="1" applyAlignment="1" applyProtection="1">
      <alignment horizontal="right" vertical="center"/>
      <protection/>
    </xf>
    <xf numFmtId="0" fontId="37" fillId="0" borderId="0" xfId="96" applyFont="1" applyBorder="1" applyAlignment="1" applyProtection="1">
      <alignment horizontal="right" vertical="center"/>
      <protection/>
    </xf>
    <xf numFmtId="0" fontId="23" fillId="96" borderId="11" xfId="95" applyFont="1" applyFill="1" applyBorder="1" applyAlignment="1" applyProtection="1">
      <alignment horizontal="center" vertical="center"/>
      <protection/>
    </xf>
    <xf numFmtId="0" fontId="23" fillId="97" borderId="11" xfId="95" applyNumberFormat="1" applyFont="1" applyFill="1" applyBorder="1" applyAlignment="1">
      <alignment horizontal="center" vertical="center"/>
      <protection/>
    </xf>
    <xf numFmtId="0" fontId="23" fillId="98" borderId="11" xfId="95" applyFont="1" applyFill="1" applyBorder="1" applyAlignment="1">
      <alignment horizontal="center" vertical="center"/>
      <protection/>
    </xf>
    <xf numFmtId="0" fontId="23" fillId="99" borderId="11" xfId="95" applyFont="1" applyFill="1" applyBorder="1" applyAlignment="1">
      <alignment horizontal="center" vertical="center"/>
      <protection/>
    </xf>
    <xf numFmtId="0" fontId="23" fillId="100" borderId="14" xfId="95" applyFont="1" applyFill="1" applyBorder="1" applyAlignment="1" applyProtection="1">
      <alignment horizontal="center" vertical="center"/>
      <protection/>
    </xf>
    <xf numFmtId="0" fontId="23" fillId="101" borderId="14" xfId="95" applyNumberFormat="1" applyFont="1" applyFill="1" applyBorder="1" applyAlignment="1">
      <alignment horizontal="center" vertical="center"/>
      <protection/>
    </xf>
    <xf numFmtId="0" fontId="23" fillId="102" borderId="14" xfId="95" applyFont="1" applyFill="1" applyBorder="1" applyAlignment="1">
      <alignment horizontal="center" vertical="center"/>
      <protection/>
    </xf>
    <xf numFmtId="0" fontId="23" fillId="103" borderId="14" xfId="95" applyFont="1" applyFill="1" applyBorder="1" applyAlignment="1">
      <alignment horizontal="center" vertical="center"/>
      <protection/>
    </xf>
    <xf numFmtId="0" fontId="23" fillId="104" borderId="25" xfId="95" applyNumberFormat="1" applyFont="1" applyFill="1" applyBorder="1" applyAlignment="1">
      <alignment vertical="center"/>
      <protection/>
    </xf>
    <xf numFmtId="0" fontId="23" fillId="105" borderId="43" xfId="95" applyFont="1" applyFill="1" applyBorder="1" applyAlignment="1">
      <alignment horizontal="left" vertical="center"/>
      <protection/>
    </xf>
    <xf numFmtId="0" fontId="23" fillId="106" borderId="25" xfId="95" applyNumberFormat="1" applyFont="1" applyFill="1" applyBorder="1" applyAlignment="1">
      <alignment vertical="center"/>
      <protection/>
    </xf>
    <xf numFmtId="0" fontId="23" fillId="107" borderId="43" xfId="95" applyFont="1" applyFill="1" applyBorder="1" applyAlignment="1">
      <alignment horizontal="left" vertical="center"/>
      <protection/>
    </xf>
    <xf numFmtId="14" fontId="21" fillId="0" borderId="0" xfId="106" applyNumberFormat="1" applyFont="1" applyFill="1" applyBorder="1" applyAlignment="1">
      <alignment horizontal="center" vertical="top"/>
      <protection/>
    </xf>
    <xf numFmtId="14" fontId="21" fillId="0" borderId="0" xfId="106" applyNumberFormat="1" applyFont="1" applyFill="1" applyAlignment="1">
      <alignment horizontal="center" vertical="top"/>
      <protection/>
    </xf>
    <xf numFmtId="0" fontId="21" fillId="0" borderId="0" xfId="106" applyNumberFormat="1" applyFont="1" applyFill="1" applyAlignment="1">
      <alignment vertical="top"/>
      <protection/>
    </xf>
    <xf numFmtId="165" fontId="21" fillId="0" borderId="0" xfId="106" applyFont="1" applyFill="1" applyAlignment="1">
      <alignment vertical="top" wrapText="1"/>
      <protection/>
    </xf>
    <xf numFmtId="0" fontId="24" fillId="108" borderId="49" xfId="93" applyNumberFormat="1" applyFont="1" applyFill="1" applyBorder="1" applyAlignment="1" applyProtection="1">
      <alignment horizontal="center" vertical="center"/>
      <protection/>
    </xf>
    <xf numFmtId="0" fontId="24" fillId="0" borderId="11" xfId="93" applyNumberFormat="1" applyFont="1" applyFill="1" applyBorder="1" applyAlignment="1" applyProtection="1">
      <alignment horizontal="center" vertical="center"/>
      <protection locked="0"/>
    </xf>
    <xf numFmtId="0" fontId="24" fillId="0" borderId="45" xfId="93" applyNumberFormat="1" applyFont="1" applyFill="1" applyBorder="1" applyAlignment="1" applyProtection="1">
      <alignment horizontal="center" vertical="center"/>
      <protection locked="0"/>
    </xf>
    <xf numFmtId="0" fontId="24" fillId="109" borderId="14" xfId="93" applyNumberFormat="1" applyFont="1" applyFill="1" applyBorder="1" applyAlignment="1" applyProtection="1">
      <alignment horizontal="center" vertical="center"/>
      <protection/>
    </xf>
    <xf numFmtId="0" fontId="24" fillId="110" borderId="50" xfId="93" applyNumberFormat="1" applyFont="1" applyFill="1" applyBorder="1" applyAlignment="1" applyProtection="1">
      <alignment horizontal="center" vertical="center"/>
      <protection/>
    </xf>
    <xf numFmtId="0" fontId="24" fillId="0" borderId="50" xfId="93" applyNumberFormat="1" applyFont="1" applyFill="1" applyBorder="1" applyAlignment="1" applyProtection="1">
      <alignment horizontal="center" vertical="center"/>
      <protection locked="0"/>
    </xf>
    <xf numFmtId="0" fontId="24" fillId="111" borderId="52" xfId="93" applyNumberFormat="1" applyFont="1" applyFill="1" applyBorder="1" applyAlignment="1" applyProtection="1">
      <alignment horizontal="center" vertical="center"/>
      <protection/>
    </xf>
    <xf numFmtId="165" fontId="21" fillId="0" borderId="0" xfId="106" applyFont="1" applyFill="1" applyAlignment="1">
      <alignment horizontal="center" vertical="top"/>
      <protection/>
    </xf>
    <xf numFmtId="14" fontId="21" fillId="0" borderId="0" xfId="106" applyNumberFormat="1" applyFont="1" applyFill="1" applyBorder="1" applyAlignment="1">
      <alignment horizontal="center" vertical="top"/>
      <protection/>
    </xf>
    <xf numFmtId="165" fontId="21" fillId="0" borderId="0" xfId="106" applyFont="1" applyFill="1" applyBorder="1" applyAlignment="1">
      <alignment horizontal="center" vertical="top"/>
      <protection/>
    </xf>
    <xf numFmtId="0" fontId="23" fillId="0" borderId="14" xfId="100" applyFont="1" applyFill="1" applyBorder="1" applyAlignment="1" applyProtection="1">
      <alignment horizontal="left" vertical="top" indent="1"/>
      <protection/>
    </xf>
    <xf numFmtId="0" fontId="23" fillId="112" borderId="61" xfId="95" applyNumberFormat="1" applyFont="1" applyFill="1" applyBorder="1" applyAlignment="1">
      <alignment horizontal="center" vertical="center"/>
      <protection/>
    </xf>
    <xf numFmtId="14" fontId="21" fillId="0" borderId="0" xfId="106" applyNumberFormat="1" applyFont="1" applyFill="1" applyBorder="1" applyAlignment="1">
      <alignment horizontal="center" vertical="top"/>
      <protection/>
    </xf>
    <xf numFmtId="165" fontId="21" fillId="0" borderId="0" xfId="106" applyFont="1" applyFill="1" applyBorder="1" applyAlignment="1">
      <alignment vertical="top" wrapText="1"/>
      <protection/>
    </xf>
    <xf numFmtId="165" fontId="21" fillId="0" borderId="0" xfId="106" applyFont="1" applyFill="1" applyBorder="1" applyAlignment="1">
      <alignment horizontal="center" vertical="top"/>
      <protection/>
    </xf>
    <xf numFmtId="14" fontId="94" fillId="0" borderId="62" xfId="0" applyNumberFormat="1" applyFont="1" applyBorder="1" applyAlignment="1">
      <alignment horizontal="center" vertical="top"/>
    </xf>
    <xf numFmtId="165" fontId="94" fillId="0" borderId="63" xfId="0" applyNumberFormat="1" applyFont="1" applyBorder="1" applyAlignment="1">
      <alignment vertical="top" wrapText="1"/>
    </xf>
    <xf numFmtId="165" fontId="94" fillId="0" borderId="64" xfId="0" applyNumberFormat="1" applyFont="1" applyBorder="1" applyAlignment="1">
      <alignment horizontal="center" vertical="top"/>
    </xf>
    <xf numFmtId="165" fontId="21" fillId="0" borderId="0" xfId="0" applyNumberFormat="1" applyFont="1" applyAlignment="1">
      <alignment/>
    </xf>
    <xf numFmtId="14" fontId="21" fillId="0" borderId="0" xfId="106" applyNumberFormat="1" applyFont="1" applyFill="1" applyAlignment="1">
      <alignment horizontal="center" vertical="top"/>
      <protection/>
    </xf>
    <xf numFmtId="165" fontId="21" fillId="0" borderId="0" xfId="106" applyFont="1" applyFill="1" applyAlignment="1">
      <alignment vertical="top" wrapText="1"/>
      <protection/>
    </xf>
    <xf numFmtId="165" fontId="21" fillId="0" borderId="0" xfId="106" applyFont="1" applyFill="1" applyAlignment="1">
      <alignment horizontal="center" vertical="top"/>
      <protection/>
    </xf>
    <xf numFmtId="0" fontId="21" fillId="0" borderId="0" xfId="106" applyNumberFormat="1" applyFont="1" applyFill="1" applyAlignment="1">
      <alignment horizontal="center" vertical="top"/>
      <protection/>
    </xf>
    <xf numFmtId="0" fontId="18" fillId="113" borderId="14" xfId="93" applyFont="1" applyFill="1" applyBorder="1" applyAlignment="1" applyProtection="1">
      <alignment horizontal="left" vertical="center" indent="1"/>
      <protection/>
    </xf>
    <xf numFmtId="0" fontId="18" fillId="114" borderId="14" xfId="93" applyFont="1" applyFill="1" applyBorder="1" applyAlignment="1" applyProtection="1">
      <alignment vertical="center"/>
      <protection/>
    </xf>
    <xf numFmtId="0" fontId="18" fillId="0" borderId="65" xfId="0" applyFont="1" applyFill="1" applyBorder="1" applyAlignment="1" applyProtection="1">
      <alignment horizontal="center"/>
      <protection/>
    </xf>
    <xf numFmtId="0" fontId="18" fillId="0" borderId="0" xfId="93" applyFont="1" applyFill="1" applyBorder="1" applyAlignment="1" applyProtection="1">
      <alignment horizontal="right" vertical="center"/>
      <protection/>
    </xf>
    <xf numFmtId="0" fontId="18" fillId="0" borderId="0" xfId="0" applyFont="1" applyBorder="1" applyAlignment="1" applyProtection="1">
      <alignment vertical="center"/>
      <protection/>
    </xf>
    <xf numFmtId="0" fontId="20" fillId="0" borderId="66" xfId="93" applyFont="1" applyFill="1" applyBorder="1" applyAlignment="1" applyProtection="1">
      <alignment horizontal="right" vertical="center"/>
      <protection/>
    </xf>
    <xf numFmtId="0" fontId="18" fillId="115" borderId="44" xfId="0" applyFont="1" applyFill="1" applyBorder="1" applyAlignment="1" applyProtection="1">
      <alignment vertical="center" wrapText="1"/>
      <protection/>
    </xf>
    <xf numFmtId="0" fontId="18" fillId="116" borderId="50" xfId="93" applyFont="1" applyFill="1" applyBorder="1" applyAlignment="1" applyProtection="1">
      <alignment horizontal="left" vertical="center"/>
      <protection/>
    </xf>
    <xf numFmtId="0" fontId="18" fillId="117" borderId="49" xfId="0" applyFont="1" applyFill="1" applyBorder="1" applyAlignment="1" applyProtection="1">
      <alignment horizontal="center" vertical="center" wrapText="1"/>
      <protection/>
    </xf>
    <xf numFmtId="0" fontId="20" fillId="60" borderId="49" xfId="93" applyFont="1" applyFill="1" applyBorder="1" applyAlignment="1" applyProtection="1">
      <alignment horizontal="center" vertical="center"/>
      <protection locked="0"/>
    </xf>
    <xf numFmtId="0" fontId="18" fillId="118" borderId="52" xfId="93" applyFont="1" applyFill="1" applyBorder="1" applyAlignment="1" applyProtection="1">
      <alignment horizontal="left" vertical="center"/>
      <protection/>
    </xf>
    <xf numFmtId="14" fontId="21" fillId="0" borderId="0" xfId="106" applyNumberFormat="1" applyFont="1" applyFill="1" applyAlignment="1">
      <alignment horizontal="center" vertical="top"/>
      <protection/>
    </xf>
    <xf numFmtId="165" fontId="20" fillId="119" borderId="55" xfId="101" applyNumberFormat="1" applyFont="1" applyFill="1" applyBorder="1" applyAlignment="1" applyProtection="1">
      <alignment horizontal="center"/>
      <protection/>
    </xf>
    <xf numFmtId="165" fontId="20" fillId="120" borderId="50" xfId="101" applyNumberFormat="1" applyFont="1" applyFill="1" applyBorder="1" applyAlignment="1" applyProtection="1">
      <alignment horizontal="center"/>
      <protection/>
    </xf>
    <xf numFmtId="165" fontId="20" fillId="121" borderId="58" xfId="101" applyNumberFormat="1" applyFont="1" applyFill="1" applyBorder="1" applyAlignment="1" applyProtection="1">
      <alignment horizontal="center"/>
      <protection/>
    </xf>
    <xf numFmtId="165" fontId="20" fillId="122" borderId="52" xfId="101" applyNumberFormat="1" applyFont="1" applyFill="1" applyBorder="1" applyAlignment="1" applyProtection="1">
      <alignment horizontal="center"/>
      <protection/>
    </xf>
    <xf numFmtId="0" fontId="23" fillId="123" borderId="14" xfId="100" applyFont="1" applyFill="1" applyBorder="1" applyAlignment="1" applyProtection="1">
      <alignment horizontal="left" vertical="top" indent="1"/>
      <protection/>
    </xf>
    <xf numFmtId="0" fontId="18" fillId="124" borderId="38" xfId="95" applyFont="1" applyFill="1" applyBorder="1" applyAlignment="1">
      <alignment horizontal="right" vertical="center"/>
      <protection/>
    </xf>
    <xf numFmtId="0" fontId="18" fillId="125" borderId="25" xfId="0" applyFont="1" applyFill="1" applyBorder="1" applyAlignment="1">
      <alignment vertical="center"/>
    </xf>
    <xf numFmtId="0" fontId="23" fillId="126" borderId="25" xfId="95" applyFont="1" applyFill="1" applyBorder="1" applyAlignment="1">
      <alignment horizontal="right" vertical="center"/>
      <protection/>
    </xf>
    <xf numFmtId="0" fontId="23" fillId="127" borderId="25" xfId="95" applyNumberFormat="1" applyFont="1" applyFill="1" applyBorder="1" applyAlignment="1">
      <alignment vertical="center"/>
      <protection/>
    </xf>
    <xf numFmtId="0" fontId="23" fillId="128" borderId="43" xfId="95" applyFont="1" applyFill="1" applyBorder="1" applyAlignment="1">
      <alignment horizontal="left" vertical="center"/>
      <protection/>
    </xf>
    <xf numFmtId="0" fontId="23" fillId="129" borderId="46" xfId="98" applyFont="1" applyFill="1" applyBorder="1" applyAlignment="1">
      <alignment horizontal="center" vertical="center" wrapText="1"/>
      <protection/>
    </xf>
    <xf numFmtId="0" fontId="23" fillId="130" borderId="11" xfId="98" applyFont="1" applyFill="1" applyBorder="1" applyAlignment="1">
      <alignment horizontal="center" vertical="center"/>
      <protection/>
    </xf>
    <xf numFmtId="0" fontId="23" fillId="131" borderId="14" xfId="98" applyFont="1" applyFill="1" applyBorder="1" applyAlignment="1">
      <alignment horizontal="center" vertical="center"/>
      <protection/>
    </xf>
    <xf numFmtId="0" fontId="80" fillId="31" borderId="20" xfId="47" applyBorder="1" applyAlignment="1">
      <alignment horizontal="center" vertical="center" textRotation="90" wrapText="1"/>
    </xf>
    <xf numFmtId="0" fontId="80" fillId="31" borderId="16" xfId="47" applyBorder="1" applyAlignment="1">
      <alignment horizontal="center" vertical="center" textRotation="90" wrapText="1"/>
    </xf>
    <xf numFmtId="0" fontId="80" fillId="35" borderId="22" xfId="51" applyBorder="1" applyAlignment="1">
      <alignment horizontal="center" vertical="center" textRotation="90" wrapText="1"/>
    </xf>
    <xf numFmtId="0" fontId="0" fillId="0" borderId="0" xfId="87" applyAlignment="1">
      <alignment horizontal="left"/>
      <protection/>
    </xf>
    <xf numFmtId="0" fontId="80" fillId="31" borderId="22" xfId="47" applyBorder="1" applyAlignment="1">
      <alignment horizontal="center" vertical="center" textRotation="90" wrapText="1"/>
    </xf>
    <xf numFmtId="0" fontId="80" fillId="33" borderId="22" xfId="49" applyBorder="1" applyAlignment="1">
      <alignment horizontal="center" vertical="center" textRotation="90" wrapText="1"/>
    </xf>
    <xf numFmtId="0" fontId="80" fillId="36" borderId="22" xfId="52" applyBorder="1" applyAlignment="1">
      <alignment horizontal="center" vertical="center" textRotation="90" wrapText="1"/>
    </xf>
    <xf numFmtId="0" fontId="80" fillId="29" borderId="22" xfId="45" applyBorder="1" applyAlignment="1">
      <alignment horizontal="center" vertical="center" textRotation="90" wrapText="1"/>
    </xf>
    <xf numFmtId="0" fontId="80" fillId="27" borderId="22" xfId="43" applyBorder="1" applyAlignment="1">
      <alignment horizontal="center" vertical="center" textRotation="90" wrapText="1"/>
    </xf>
    <xf numFmtId="165" fontId="30" fillId="0" borderId="8" xfId="106" applyFont="1" applyBorder="1" applyAlignment="1">
      <alignment/>
      <protection/>
    </xf>
    <xf numFmtId="165" fontId="30" fillId="0" borderId="0" xfId="106" applyFont="1" applyBorder="1" applyAlignment="1">
      <alignment/>
      <protection/>
    </xf>
    <xf numFmtId="0" fontId="46" fillId="0" borderId="0" xfId="0" applyFont="1" applyAlignment="1">
      <alignment vertical="top" wrapText="1"/>
    </xf>
    <xf numFmtId="165" fontId="18" fillId="0" borderId="0" xfId="103" applyFont="1" applyBorder="1" applyAlignment="1">
      <alignment vertical="top" wrapText="1"/>
      <protection/>
    </xf>
    <xf numFmtId="0" fontId="46" fillId="0" borderId="0" xfId="0" applyFont="1" applyAlignment="1">
      <alignment wrapText="1"/>
    </xf>
    <xf numFmtId="165" fontId="18" fillId="0" borderId="0" xfId="103" applyFont="1" applyBorder="1" applyAlignment="1">
      <alignment/>
      <protection/>
    </xf>
    <xf numFmtId="49" fontId="27" fillId="0" borderId="0" xfId="103" applyNumberFormat="1" applyFont="1" applyBorder="1" applyAlignment="1">
      <alignment/>
      <protection/>
    </xf>
    <xf numFmtId="0" fontId="46" fillId="0" borderId="0" xfId="0" applyFont="1" applyBorder="1" applyAlignment="1">
      <alignment vertical="top" wrapText="1"/>
    </xf>
    <xf numFmtId="165" fontId="27" fillId="0" borderId="10" xfId="103" applyFont="1" applyBorder="1" applyAlignment="1">
      <alignment/>
      <protection/>
    </xf>
    <xf numFmtId="0" fontId="18" fillId="0" borderId="0" xfId="0" applyFont="1" applyBorder="1" applyAlignment="1">
      <alignment vertical="center" wrapText="1"/>
    </xf>
    <xf numFmtId="165" fontId="18" fillId="0" borderId="0" xfId="0" applyNumberFormat="1" applyFont="1" applyAlignment="1">
      <alignment horizontal="left" vertical="top" wrapText="1"/>
    </xf>
    <xf numFmtId="165" fontId="30" fillId="0" borderId="0" xfId="103" applyFont="1" applyAlignment="1">
      <alignment horizontal="center"/>
      <protection/>
    </xf>
    <xf numFmtId="165" fontId="46" fillId="0" borderId="0" xfId="0" applyNumberFormat="1" applyFont="1" applyBorder="1" applyAlignment="1">
      <alignment horizontal="left" vertical="top" wrapText="1"/>
    </xf>
    <xf numFmtId="0" fontId="18" fillId="0" borderId="0" xfId="0" applyFont="1" applyBorder="1" applyAlignment="1">
      <alignment horizontal="left" vertical="center" wrapText="1" indent="1"/>
    </xf>
    <xf numFmtId="0" fontId="18" fillId="0" borderId="0" xfId="87" applyFont="1" applyBorder="1" applyAlignment="1">
      <alignment horizontal="left" vertical="top" wrapText="1"/>
      <protection/>
    </xf>
    <xf numFmtId="165" fontId="19" fillId="0" borderId="0" xfId="0" applyNumberFormat="1" applyFont="1" applyAlignment="1">
      <alignment horizontal="left" wrapText="1"/>
    </xf>
    <xf numFmtId="165" fontId="18" fillId="0" borderId="67" xfId="103" applyFont="1" applyBorder="1" applyAlignment="1">
      <alignment horizontal="center"/>
      <protection/>
    </xf>
    <xf numFmtId="165" fontId="23" fillId="0" borderId="0" xfId="103" applyFont="1" applyAlignment="1">
      <alignment horizontal="left" vertical="distributed"/>
      <protection/>
    </xf>
    <xf numFmtId="165" fontId="27" fillId="0" borderId="10" xfId="103" applyFont="1" applyBorder="1" applyAlignment="1">
      <alignment horizontal="left" indent="1"/>
      <protection/>
    </xf>
    <xf numFmtId="165" fontId="93" fillId="0" borderId="0" xfId="0" applyNumberFormat="1" applyFont="1" applyAlignment="1">
      <alignment horizontal="center" vertical="center"/>
    </xf>
    <xf numFmtId="165" fontId="18" fillId="0" borderId="16" xfId="103" applyFont="1" applyBorder="1" applyAlignment="1">
      <alignment horizontal="left" vertical="top" wrapText="1"/>
      <protection/>
    </xf>
    <xf numFmtId="165" fontId="18" fillId="0" borderId="9" xfId="103" applyFont="1" applyBorder="1" applyAlignment="1">
      <alignment horizontal="left" vertical="top" wrapText="1"/>
      <protection/>
    </xf>
    <xf numFmtId="165" fontId="18" fillId="0" borderId="68" xfId="103" applyFont="1" applyBorder="1" applyAlignment="1">
      <alignment horizontal="left" vertical="top" wrapText="1"/>
      <protection/>
    </xf>
    <xf numFmtId="165" fontId="18" fillId="0" borderId="69" xfId="103" applyFont="1" applyBorder="1" applyAlignment="1">
      <alignment horizontal="center" vertical="center"/>
      <protection/>
    </xf>
    <xf numFmtId="165" fontId="18" fillId="0" borderId="70" xfId="103" applyFont="1" applyBorder="1" applyAlignment="1">
      <alignment horizontal="center" vertical="center"/>
      <protection/>
    </xf>
    <xf numFmtId="165" fontId="18" fillId="0" borderId="71" xfId="103" applyFont="1" applyBorder="1" applyAlignment="1">
      <alignment vertical="center" wrapText="1"/>
      <protection/>
    </xf>
    <xf numFmtId="165" fontId="18" fillId="0" borderId="72" xfId="103" applyFont="1" applyBorder="1" applyAlignment="1">
      <alignment vertical="center" wrapText="1"/>
      <protection/>
    </xf>
    <xf numFmtId="165" fontId="18" fillId="0" borderId="73" xfId="103" applyFont="1" applyBorder="1" applyAlignment="1">
      <alignment vertical="center" wrapText="1"/>
      <protection/>
    </xf>
    <xf numFmtId="0" fontId="29" fillId="14" borderId="74" xfId="0" applyNumberFormat="1" applyFont="1" applyFill="1" applyBorder="1" applyAlignment="1" applyProtection="1">
      <alignment horizontal="center"/>
      <protection/>
    </xf>
    <xf numFmtId="0" fontId="18" fillId="132" borderId="55" xfId="93" applyFont="1" applyFill="1" applyBorder="1" applyAlignment="1" applyProtection="1">
      <alignment horizontal="right" vertical="center" indent="1"/>
      <protection/>
    </xf>
    <xf numFmtId="0" fontId="18" fillId="133" borderId="14" xfId="93" applyFont="1" applyFill="1" applyBorder="1" applyAlignment="1" applyProtection="1">
      <alignment horizontal="right" vertical="center" indent="1"/>
      <protection/>
    </xf>
    <xf numFmtId="0" fontId="20" fillId="0" borderId="14" xfId="93" applyFont="1" applyFill="1" applyBorder="1" applyAlignment="1" applyProtection="1">
      <alignment horizontal="left" vertical="center" indent="1"/>
      <protection locked="0"/>
    </xf>
    <xf numFmtId="0" fontId="20" fillId="134" borderId="38" xfId="93" applyFont="1" applyFill="1" applyBorder="1" applyAlignment="1" applyProtection="1">
      <alignment horizontal="left" vertical="center" indent="1"/>
      <protection/>
    </xf>
    <xf numFmtId="0" fontId="20" fillId="135" borderId="48" xfId="93" applyFont="1" applyFill="1" applyBorder="1" applyAlignment="1" applyProtection="1">
      <alignment horizontal="left" vertical="center" indent="1"/>
      <protection/>
    </xf>
    <xf numFmtId="0" fontId="37" fillId="136" borderId="75" xfId="93" applyFont="1" applyFill="1" applyBorder="1" applyAlignment="1" applyProtection="1">
      <alignment horizontal="center" vertical="center"/>
      <protection/>
    </xf>
    <xf numFmtId="0" fontId="37" fillId="136" borderId="26" xfId="93" applyFont="1" applyFill="1" applyBorder="1" applyAlignment="1" applyProtection="1">
      <alignment horizontal="center" vertical="center"/>
      <protection/>
    </xf>
    <xf numFmtId="0" fontId="37" fillId="136" borderId="76" xfId="93" applyFont="1" applyFill="1" applyBorder="1" applyAlignment="1" applyProtection="1">
      <alignment horizontal="center" vertical="center"/>
      <protection/>
    </xf>
    <xf numFmtId="0" fontId="60" fillId="0" borderId="28" xfId="0" applyFont="1" applyFill="1" applyBorder="1" applyAlignment="1" applyProtection="1">
      <alignment horizontal="center" vertical="center"/>
      <protection/>
    </xf>
    <xf numFmtId="0" fontId="38" fillId="137" borderId="11" xfId="0" applyNumberFormat="1" applyFont="1" applyFill="1" applyBorder="1" applyAlignment="1" applyProtection="1">
      <alignment horizontal="center" vertical="center"/>
      <protection/>
    </xf>
    <xf numFmtId="0" fontId="18" fillId="138" borderId="77" xfId="93" applyFont="1" applyFill="1" applyBorder="1" applyAlignment="1" applyProtection="1">
      <alignment horizontal="center" vertical="center"/>
      <protection/>
    </xf>
    <xf numFmtId="0" fontId="18" fillId="139" borderId="11" xfId="0" applyFont="1" applyFill="1" applyBorder="1" applyAlignment="1" applyProtection="1">
      <alignment horizontal="center" vertical="center"/>
      <protection/>
    </xf>
    <xf numFmtId="0" fontId="18" fillId="140" borderId="11" xfId="0" applyFont="1" applyFill="1" applyBorder="1" applyAlignment="1">
      <alignment vertical="center"/>
    </xf>
    <xf numFmtId="0" fontId="18" fillId="141" borderId="55" xfId="93" applyFont="1" applyFill="1" applyBorder="1" applyAlignment="1" applyProtection="1">
      <alignment horizontal="center" vertical="center"/>
      <protection/>
    </xf>
    <xf numFmtId="0" fontId="18" fillId="142" borderId="14" xfId="0" applyFont="1" applyFill="1" applyBorder="1" applyAlignment="1" applyProtection="1">
      <alignment horizontal="center" vertical="center"/>
      <protection/>
    </xf>
    <xf numFmtId="0" fontId="18" fillId="143" borderId="14" xfId="0" applyFont="1" applyFill="1" applyBorder="1" applyAlignment="1">
      <alignment vertical="center"/>
    </xf>
    <xf numFmtId="0" fontId="20" fillId="0" borderId="50" xfId="93" applyFont="1" applyFill="1" applyBorder="1" applyAlignment="1" applyProtection="1">
      <alignment horizontal="left" vertical="center" indent="1"/>
      <protection locked="0"/>
    </xf>
    <xf numFmtId="0" fontId="24" fillId="60" borderId="38" xfId="93" applyNumberFormat="1" applyFont="1" applyFill="1" applyBorder="1" applyAlignment="1" applyProtection="1">
      <alignment horizontal="center" vertical="center"/>
      <protection locked="0"/>
    </xf>
    <xf numFmtId="0" fontId="24" fillId="60" borderId="43" xfId="93" applyNumberFormat="1" applyFont="1" applyFill="1" applyBorder="1" applyAlignment="1" applyProtection="1">
      <alignment horizontal="center" vertical="center"/>
      <protection locked="0"/>
    </xf>
    <xf numFmtId="0" fontId="18" fillId="144" borderId="55" xfId="0" applyFont="1" applyFill="1" applyBorder="1" applyAlignment="1" applyProtection="1">
      <alignment horizontal="right" vertical="center" wrapText="1" indent="1"/>
      <protection/>
    </xf>
    <xf numFmtId="0" fontId="18" fillId="145" borderId="14" xfId="0" applyFont="1" applyFill="1" applyBorder="1" applyAlignment="1" applyProtection="1">
      <alignment horizontal="right" vertical="center" wrapText="1" indent="1"/>
      <protection/>
    </xf>
    <xf numFmtId="0" fontId="18" fillId="146" borderId="53" xfId="93" applyFont="1" applyFill="1" applyBorder="1" applyAlignment="1" applyProtection="1">
      <alignment horizontal="right" vertical="center" indent="1"/>
      <protection/>
    </xf>
    <xf numFmtId="0" fontId="18" fillId="147" borderId="25" xfId="93" applyFont="1" applyFill="1" applyBorder="1" applyAlignment="1" applyProtection="1">
      <alignment horizontal="right" vertical="center" indent="1"/>
      <protection/>
    </xf>
    <xf numFmtId="0" fontId="24" fillId="148" borderId="49" xfId="93" applyNumberFormat="1" applyFont="1" applyFill="1" applyBorder="1" applyAlignment="1" applyProtection="1">
      <alignment horizontal="center" vertical="center"/>
      <protection/>
    </xf>
    <xf numFmtId="0" fontId="24" fillId="149" borderId="49" xfId="0" applyFont="1" applyFill="1" applyBorder="1" applyAlignment="1" applyProtection="1">
      <alignment vertical="center"/>
      <protection/>
    </xf>
    <xf numFmtId="0" fontId="18" fillId="150" borderId="54" xfId="0" applyFont="1" applyFill="1" applyBorder="1" applyAlignment="1" applyProtection="1">
      <alignment vertical="center"/>
      <protection/>
    </xf>
    <xf numFmtId="0" fontId="18" fillId="151" borderId="13" xfId="0" applyFont="1" applyFill="1" applyBorder="1" applyAlignment="1" applyProtection="1">
      <alignment vertical="center"/>
      <protection/>
    </xf>
    <xf numFmtId="0" fontId="20" fillId="0" borderId="38" xfId="93" applyFont="1" applyFill="1" applyBorder="1" applyAlignment="1" applyProtection="1">
      <alignment horizontal="center" vertical="center"/>
      <protection locked="0"/>
    </xf>
    <xf numFmtId="0" fontId="0" fillId="0" borderId="25" xfId="0" applyBorder="1" applyAlignment="1" applyProtection="1">
      <alignment/>
      <protection locked="0"/>
    </xf>
    <xf numFmtId="0" fontId="0" fillId="0" borderId="78" xfId="0" applyBorder="1" applyAlignment="1" applyProtection="1">
      <alignment/>
      <protection locked="0"/>
    </xf>
    <xf numFmtId="0" fontId="20" fillId="0" borderId="38" xfId="93" applyFont="1" applyFill="1" applyBorder="1" applyAlignment="1" applyProtection="1">
      <alignment horizontal="left" vertical="center" indent="1"/>
      <protection locked="0"/>
    </xf>
    <xf numFmtId="0" fontId="20" fillId="0" borderId="25" xfId="93" applyFont="1" applyFill="1" applyBorder="1" applyAlignment="1" applyProtection="1">
      <alignment horizontal="left" vertical="center" indent="1"/>
      <protection locked="0"/>
    </xf>
    <xf numFmtId="0" fontId="29" fillId="0" borderId="8" xfId="0" applyNumberFormat="1" applyFont="1" applyFill="1" applyBorder="1" applyAlignment="1" applyProtection="1">
      <alignment horizontal="left" indent="1"/>
      <protection locked="0"/>
    </xf>
    <xf numFmtId="0" fontId="20" fillId="0" borderId="25" xfId="0" applyFont="1" applyBorder="1" applyAlignment="1">
      <alignment horizontal="left" indent="1"/>
    </xf>
    <xf numFmtId="0" fontId="20" fillId="0" borderId="43" xfId="0" applyFont="1" applyBorder="1" applyAlignment="1">
      <alignment horizontal="left" indent="1"/>
    </xf>
    <xf numFmtId="0" fontId="18" fillId="152" borderId="57" xfId="93" applyFont="1" applyFill="1" applyBorder="1" applyAlignment="1" applyProtection="1">
      <alignment horizontal="right" vertical="center" indent="1"/>
      <protection/>
    </xf>
    <xf numFmtId="0" fontId="0" fillId="0" borderId="26" xfId="0" applyBorder="1" applyAlignment="1">
      <alignment/>
    </xf>
    <xf numFmtId="0" fontId="0" fillId="0" borderId="79" xfId="0" applyBorder="1" applyAlignment="1">
      <alignment/>
    </xf>
    <xf numFmtId="0" fontId="20" fillId="0" borderId="26" xfId="0" applyFont="1" applyBorder="1" applyAlignment="1">
      <alignment horizontal="left" indent="1"/>
    </xf>
    <xf numFmtId="0" fontId="20" fillId="0" borderId="79" xfId="0" applyFont="1" applyBorder="1" applyAlignment="1">
      <alignment horizontal="left" indent="1"/>
    </xf>
    <xf numFmtId="0" fontId="23" fillId="60" borderId="54" xfId="93" applyFont="1" applyFill="1" applyBorder="1" applyAlignment="1" applyProtection="1">
      <alignment horizontal="left" vertical="center" indent="1"/>
      <protection locked="0"/>
    </xf>
    <xf numFmtId="0" fontId="23" fillId="60" borderId="13" xfId="93" applyFont="1" applyFill="1" applyBorder="1" applyAlignment="1" applyProtection="1">
      <alignment horizontal="left" vertical="center" indent="1"/>
      <protection locked="0"/>
    </xf>
    <xf numFmtId="0" fontId="23" fillId="60" borderId="80" xfId="93" applyFont="1" applyFill="1" applyBorder="1" applyAlignment="1" applyProtection="1">
      <alignment horizontal="left" vertical="center" indent="1"/>
      <protection locked="0"/>
    </xf>
    <xf numFmtId="0" fontId="23" fillId="60" borderId="53" xfId="93" applyFont="1" applyFill="1" applyBorder="1" applyAlignment="1" applyProtection="1">
      <alignment horizontal="left" vertical="center" indent="1"/>
      <protection locked="0"/>
    </xf>
    <xf numFmtId="0" fontId="23" fillId="60" borderId="25" xfId="93" applyFont="1" applyFill="1" applyBorder="1" applyAlignment="1" applyProtection="1">
      <alignment horizontal="left" vertical="center" indent="1"/>
      <protection locked="0"/>
    </xf>
    <xf numFmtId="0" fontId="23" fillId="60" borderId="43" xfId="93" applyFont="1" applyFill="1" applyBorder="1" applyAlignment="1" applyProtection="1">
      <alignment horizontal="left" vertical="center" indent="1"/>
      <protection locked="0"/>
    </xf>
    <xf numFmtId="0" fontId="18" fillId="153" borderId="38" xfId="93" applyFont="1" applyFill="1" applyBorder="1" applyAlignment="1" applyProtection="1">
      <alignment horizontal="right" vertical="center" indent="1"/>
      <protection/>
    </xf>
    <xf numFmtId="0" fontId="24" fillId="154" borderId="38" xfId="93" applyNumberFormat="1" applyFont="1" applyFill="1" applyBorder="1" applyAlignment="1" applyProtection="1">
      <alignment horizontal="center" vertical="center"/>
      <protection/>
    </xf>
    <xf numFmtId="0" fontId="24" fillId="155" borderId="43" xfId="93" applyNumberFormat="1" applyFont="1" applyFill="1" applyBorder="1" applyAlignment="1" applyProtection="1">
      <alignment horizontal="center" vertical="center"/>
      <protection/>
    </xf>
    <xf numFmtId="0" fontId="38" fillId="156" borderId="61" xfId="0" applyNumberFormat="1" applyFont="1" applyFill="1" applyBorder="1" applyAlignment="1" applyProtection="1">
      <alignment horizontal="center" vertical="center"/>
      <protection/>
    </xf>
    <xf numFmtId="0" fontId="38" fillId="157" borderId="81" xfId="0" applyNumberFormat="1" applyFont="1" applyFill="1" applyBorder="1" applyAlignment="1" applyProtection="1">
      <alignment horizontal="center" vertical="center"/>
      <protection/>
    </xf>
    <xf numFmtId="0" fontId="18" fillId="16" borderId="54" xfId="93" applyFont="1" applyFill="1" applyBorder="1" applyAlignment="1" applyProtection="1">
      <alignment horizontal="center" vertical="center"/>
      <protection/>
    </xf>
    <xf numFmtId="0" fontId="18" fillId="16" borderId="13" xfId="93" applyFont="1" applyFill="1" applyBorder="1" applyAlignment="1" applyProtection="1">
      <alignment horizontal="center" vertical="center"/>
      <protection/>
    </xf>
    <xf numFmtId="0" fontId="18" fillId="16" borderId="82" xfId="93" applyFont="1" applyFill="1" applyBorder="1" applyAlignment="1" applyProtection="1">
      <alignment horizontal="center" vertical="center"/>
      <protection/>
    </xf>
    <xf numFmtId="0" fontId="8" fillId="60" borderId="14" xfId="0" applyNumberFormat="1" applyFont="1" applyFill="1" applyBorder="1" applyAlignment="1" applyProtection="1">
      <alignment horizontal="center" vertical="center"/>
      <protection locked="0"/>
    </xf>
    <xf numFmtId="0" fontId="20" fillId="0" borderId="48" xfId="93" applyFont="1" applyFill="1" applyBorder="1" applyAlignment="1" applyProtection="1">
      <alignment horizontal="left" vertical="center" indent="1"/>
      <protection locked="0"/>
    </xf>
    <xf numFmtId="0" fontId="20" fillId="0" borderId="27" xfId="93" applyFont="1" applyFill="1" applyBorder="1" applyAlignment="1" applyProtection="1">
      <alignment horizontal="left" vertical="center" indent="1"/>
      <protection locked="0"/>
    </xf>
    <xf numFmtId="0" fontId="20" fillId="0" borderId="13" xfId="93" applyFont="1" applyFill="1" applyBorder="1" applyAlignment="1" applyProtection="1">
      <alignment horizontal="left" vertical="center" indent="1"/>
      <protection locked="0"/>
    </xf>
    <xf numFmtId="0" fontId="20" fillId="0" borderId="82" xfId="93" applyFont="1" applyFill="1" applyBorder="1" applyAlignment="1" applyProtection="1">
      <alignment horizontal="left" vertical="center" indent="1"/>
      <protection locked="0"/>
    </xf>
    <xf numFmtId="0" fontId="18" fillId="158" borderId="54" xfId="93" applyFont="1" applyFill="1" applyBorder="1" applyAlignment="1" applyProtection="1">
      <alignment horizontal="right" vertical="center" indent="1"/>
      <protection/>
    </xf>
    <xf numFmtId="0" fontId="18" fillId="159" borderId="13" xfId="93" applyFont="1" applyFill="1" applyBorder="1" applyAlignment="1" applyProtection="1">
      <alignment horizontal="right" vertical="center" indent="1"/>
      <protection/>
    </xf>
    <xf numFmtId="0" fontId="18" fillId="160" borderId="35" xfId="93" applyFont="1" applyFill="1" applyBorder="1" applyAlignment="1" applyProtection="1">
      <alignment horizontal="right" vertical="center" indent="1"/>
      <protection/>
    </xf>
    <xf numFmtId="0" fontId="18" fillId="161" borderId="36" xfId="93" applyFont="1" applyFill="1" applyBorder="1" applyAlignment="1" applyProtection="1">
      <alignment horizontal="right" vertical="center" indent="1"/>
      <protection/>
    </xf>
    <xf numFmtId="0" fontId="20" fillId="0" borderId="30" xfId="93" applyFont="1" applyFill="1" applyBorder="1" applyAlignment="1" applyProtection="1">
      <alignment horizontal="left" vertical="top"/>
      <protection locked="0"/>
    </xf>
    <xf numFmtId="0" fontId="20" fillId="0" borderId="8" xfId="93" applyFont="1" applyFill="1" applyBorder="1" applyAlignment="1" applyProtection="1">
      <alignment horizontal="left" vertical="top"/>
      <protection locked="0"/>
    </xf>
    <xf numFmtId="0" fontId="20" fillId="0" borderId="31" xfId="93" applyFont="1" applyFill="1" applyBorder="1" applyAlignment="1" applyProtection="1">
      <alignment horizontal="left" vertical="top"/>
      <protection locked="0"/>
    </xf>
    <xf numFmtId="14" fontId="20" fillId="0" borderId="51" xfId="93" applyNumberFormat="1" applyFont="1" applyFill="1" applyBorder="1" applyAlignment="1" applyProtection="1">
      <alignment horizontal="center" vertical="center"/>
      <protection locked="0"/>
    </xf>
    <xf numFmtId="14" fontId="20" fillId="0" borderId="83" xfId="93" applyNumberFormat="1" applyFont="1" applyFill="1" applyBorder="1" applyAlignment="1" applyProtection="1">
      <alignment horizontal="center" vertical="center"/>
      <protection locked="0"/>
    </xf>
    <xf numFmtId="0" fontId="27" fillId="162" borderId="53" xfId="93" applyFont="1" applyFill="1" applyBorder="1" applyAlignment="1" applyProtection="1">
      <alignment horizontal="center" vertical="center"/>
      <protection/>
    </xf>
    <xf numFmtId="0" fontId="27" fillId="163" borderId="25" xfId="93" applyFont="1" applyFill="1" applyBorder="1" applyAlignment="1" applyProtection="1">
      <alignment horizontal="center" vertical="center"/>
      <protection/>
    </xf>
    <xf numFmtId="0" fontId="18" fillId="164" borderId="11" xfId="93" applyFont="1" applyFill="1" applyBorder="1" applyAlignment="1" applyProtection="1">
      <alignment horizontal="center" vertical="center"/>
      <protection/>
    </xf>
    <xf numFmtId="0" fontId="18" fillId="165" borderId="38" xfId="93" applyFont="1" applyFill="1" applyBorder="1" applyAlignment="1" applyProtection="1">
      <alignment horizontal="center" vertical="center"/>
      <protection/>
    </xf>
    <xf numFmtId="0" fontId="18" fillId="166" borderId="25" xfId="93" applyFont="1" applyFill="1" applyBorder="1" applyAlignment="1" applyProtection="1">
      <alignment horizontal="center" vertical="center"/>
      <protection/>
    </xf>
    <xf numFmtId="0" fontId="18" fillId="167" borderId="43" xfId="93" applyFont="1" applyFill="1" applyBorder="1" applyAlignment="1" applyProtection="1">
      <alignment horizontal="center" vertical="center"/>
      <protection/>
    </xf>
    <xf numFmtId="0" fontId="18" fillId="168" borderId="54" xfId="0" applyFont="1" applyFill="1" applyBorder="1" applyAlignment="1">
      <alignment horizontal="right" vertical="center" indent="1"/>
    </xf>
    <xf numFmtId="0" fontId="18" fillId="169" borderId="80" xfId="0" applyFont="1" applyFill="1" applyBorder="1" applyAlignment="1">
      <alignment horizontal="right" vertical="center" indent="1"/>
    </xf>
    <xf numFmtId="0" fontId="8" fillId="60" borderId="49" xfId="0" applyNumberFormat="1" applyFont="1" applyFill="1" applyBorder="1" applyAlignment="1" applyProtection="1">
      <alignment horizontal="center" vertical="center"/>
      <protection locked="0"/>
    </xf>
    <xf numFmtId="0" fontId="18" fillId="170" borderId="27" xfId="0" applyFont="1" applyFill="1" applyBorder="1" applyAlignment="1" applyProtection="1">
      <alignment horizontal="center" vertical="center" wrapText="1"/>
      <protection/>
    </xf>
    <xf numFmtId="0" fontId="18" fillId="171" borderId="80" xfId="0" applyFont="1" applyFill="1" applyBorder="1" applyAlignment="1" applyProtection="1">
      <alignment horizontal="center" vertical="center" wrapText="1"/>
      <protection/>
    </xf>
    <xf numFmtId="0" fontId="20" fillId="60" borderId="38" xfId="93" applyFont="1" applyFill="1" applyBorder="1" applyAlignment="1" applyProtection="1">
      <alignment horizontal="center" vertical="center"/>
      <protection locked="0"/>
    </xf>
    <xf numFmtId="0" fontId="20" fillId="60" borderId="43" xfId="93" applyFont="1" applyFill="1" applyBorder="1" applyAlignment="1" applyProtection="1">
      <alignment horizontal="center" vertical="center"/>
      <protection locked="0"/>
    </xf>
    <xf numFmtId="0" fontId="0" fillId="172" borderId="84" xfId="0" applyFont="1" applyFill="1" applyBorder="1" applyAlignment="1">
      <alignment horizontal="center" wrapText="1"/>
    </xf>
    <xf numFmtId="0" fontId="0" fillId="0" borderId="28" xfId="0" applyBorder="1" applyAlignment="1">
      <alignment/>
    </xf>
    <xf numFmtId="0" fontId="18" fillId="173" borderId="27" xfId="87" applyFont="1" applyFill="1" applyBorder="1" applyAlignment="1" applyProtection="1">
      <alignment horizontal="center" vertical="center" wrapText="1"/>
      <protection/>
    </xf>
    <xf numFmtId="0" fontId="18" fillId="174" borderId="80" xfId="87" applyFont="1" applyFill="1" applyBorder="1" applyAlignment="1" applyProtection="1">
      <alignment horizontal="center" vertical="center" wrapText="1"/>
      <protection/>
    </xf>
    <xf numFmtId="0" fontId="18" fillId="175" borderId="78" xfId="93" applyFont="1" applyFill="1" applyBorder="1" applyAlignment="1" applyProtection="1">
      <alignment horizontal="center" vertical="center"/>
      <protection/>
    </xf>
    <xf numFmtId="0" fontId="5" fillId="176" borderId="28" xfId="0" applyFont="1" applyFill="1" applyBorder="1" applyAlignment="1" applyProtection="1">
      <alignment horizontal="center" vertical="center"/>
      <protection/>
    </xf>
    <xf numFmtId="0" fontId="18" fillId="177" borderId="43" xfId="93" applyFont="1" applyFill="1" applyBorder="1" applyAlignment="1" applyProtection="1">
      <alignment horizontal="right" vertical="center" indent="1"/>
      <protection/>
    </xf>
    <xf numFmtId="0" fontId="20" fillId="0" borderId="51" xfId="93" applyFont="1" applyFill="1" applyBorder="1" applyAlignment="1" applyProtection="1">
      <alignment horizontal="left" vertical="center" indent="1"/>
      <protection locked="0"/>
    </xf>
    <xf numFmtId="0" fontId="20" fillId="0" borderId="36" xfId="93" applyFont="1" applyFill="1" applyBorder="1" applyAlignment="1" applyProtection="1">
      <alignment horizontal="left" vertical="center" indent="1"/>
      <protection locked="0"/>
    </xf>
    <xf numFmtId="0" fontId="20" fillId="0" borderId="83" xfId="93" applyFont="1" applyFill="1" applyBorder="1" applyAlignment="1" applyProtection="1">
      <alignment horizontal="left" vertical="center" indent="1"/>
      <protection locked="0"/>
    </xf>
    <xf numFmtId="0" fontId="20" fillId="0" borderId="38" xfId="0" applyFont="1" applyFill="1" applyBorder="1" applyAlignment="1" applyProtection="1">
      <alignment horizontal="left" vertical="center" indent="1"/>
      <protection locked="0"/>
    </xf>
    <xf numFmtId="0" fontId="20" fillId="0" borderId="25" xfId="0" applyFont="1" applyFill="1" applyBorder="1" applyAlignment="1" applyProtection="1">
      <alignment horizontal="left" vertical="center" indent="1"/>
      <protection locked="0"/>
    </xf>
    <xf numFmtId="0" fontId="18" fillId="178" borderId="27" xfId="93" applyFont="1" applyFill="1" applyBorder="1" applyAlignment="1" applyProtection="1">
      <alignment horizontal="right" vertical="center" indent="1"/>
      <protection/>
    </xf>
    <xf numFmtId="0" fontId="8" fillId="60" borderId="35" xfId="0" applyNumberFormat="1" applyFont="1" applyFill="1" applyBorder="1" applyAlignment="1" applyProtection="1">
      <alignment horizontal="center" vertical="center"/>
      <protection locked="0"/>
    </xf>
    <xf numFmtId="0" fontId="8" fillId="60" borderId="36" xfId="0" applyNumberFormat="1" applyFont="1" applyFill="1" applyBorder="1" applyAlignment="1" applyProtection="1">
      <alignment horizontal="center" vertical="center"/>
      <protection locked="0"/>
    </xf>
    <xf numFmtId="0" fontId="8" fillId="60" borderId="83" xfId="0" applyNumberFormat="1" applyFont="1" applyFill="1" applyBorder="1" applyAlignment="1" applyProtection="1">
      <alignment horizontal="center" vertical="center"/>
      <protection locked="0"/>
    </xf>
    <xf numFmtId="0" fontId="18" fillId="179" borderId="57" xfId="0" applyFont="1" applyFill="1" applyBorder="1" applyAlignment="1">
      <alignment horizontal="center" vertical="center" wrapText="1"/>
    </xf>
    <xf numFmtId="0" fontId="18" fillId="180" borderId="79" xfId="0" applyFont="1" applyFill="1" applyBorder="1" applyAlignment="1">
      <alignment horizontal="center" vertical="center" wrapText="1"/>
    </xf>
    <xf numFmtId="0" fontId="18" fillId="181" borderId="38" xfId="93" applyFont="1" applyFill="1" applyBorder="1" applyAlignment="1" applyProtection="1" quotePrefix="1">
      <alignment horizontal="center" vertical="center" wrapText="1"/>
      <protection/>
    </xf>
    <xf numFmtId="0" fontId="18" fillId="182" borderId="43" xfId="93" applyFont="1" applyFill="1" applyBorder="1" applyAlignment="1" applyProtection="1" quotePrefix="1">
      <alignment horizontal="center" vertical="center" wrapText="1"/>
      <protection/>
    </xf>
    <xf numFmtId="0" fontId="18" fillId="183" borderId="75" xfId="93" applyFont="1" applyFill="1" applyBorder="1" applyAlignment="1" applyProtection="1">
      <alignment vertical="center" wrapText="1"/>
      <protection/>
    </xf>
    <xf numFmtId="0" fontId="18" fillId="184" borderId="26" xfId="93" applyFont="1" applyFill="1" applyBorder="1" applyAlignment="1" applyProtection="1">
      <alignment vertical="center" wrapText="1"/>
      <protection/>
    </xf>
    <xf numFmtId="0" fontId="18" fillId="185" borderId="76" xfId="93" applyFont="1" applyFill="1" applyBorder="1" applyAlignment="1" applyProtection="1">
      <alignment vertical="center" wrapText="1"/>
      <protection/>
    </xf>
    <xf numFmtId="0" fontId="18" fillId="186" borderId="53" xfId="0" applyFont="1" applyFill="1" applyBorder="1" applyAlignment="1" applyProtection="1">
      <alignment vertical="center"/>
      <protection/>
    </xf>
    <xf numFmtId="0" fontId="18" fillId="187" borderId="25" xfId="0" applyFont="1" applyFill="1" applyBorder="1" applyAlignment="1" applyProtection="1">
      <alignment vertical="center"/>
      <protection/>
    </xf>
    <xf numFmtId="0" fontId="24" fillId="188" borderId="51" xfId="93" applyNumberFormat="1" applyFont="1" applyFill="1" applyBorder="1" applyAlignment="1" applyProtection="1">
      <alignment horizontal="center" vertical="center"/>
      <protection/>
    </xf>
    <xf numFmtId="0" fontId="24" fillId="189" borderId="83" xfId="93" applyNumberFormat="1" applyFont="1" applyFill="1" applyBorder="1" applyAlignment="1" applyProtection="1">
      <alignment horizontal="center" vertical="center"/>
      <protection/>
    </xf>
    <xf numFmtId="0" fontId="18" fillId="190" borderId="65" xfId="0" applyFont="1" applyFill="1" applyBorder="1" applyAlignment="1">
      <alignment horizontal="right" vertical="center" indent="1"/>
    </xf>
    <xf numFmtId="0" fontId="18" fillId="191" borderId="0" xfId="0" applyFont="1" applyFill="1" applyBorder="1" applyAlignment="1">
      <alignment horizontal="right" vertical="center" indent="1"/>
    </xf>
    <xf numFmtId="0" fontId="37" fillId="14" borderId="53" xfId="93" applyFont="1" applyFill="1" applyBorder="1" applyAlignment="1" applyProtection="1">
      <alignment horizontal="center" vertical="center"/>
      <protection/>
    </xf>
    <xf numFmtId="0" fontId="37" fillId="14" borderId="25" xfId="93" applyFont="1" applyFill="1" applyBorder="1" applyAlignment="1" applyProtection="1">
      <alignment horizontal="center" vertical="center"/>
      <protection/>
    </xf>
    <xf numFmtId="0" fontId="37" fillId="14" borderId="78" xfId="93" applyFont="1" applyFill="1" applyBorder="1" applyAlignment="1" applyProtection="1">
      <alignment horizontal="center" vertical="center"/>
      <protection/>
    </xf>
    <xf numFmtId="0" fontId="20" fillId="60" borderId="51" xfId="93" applyFont="1" applyFill="1" applyBorder="1" applyAlignment="1" applyProtection="1">
      <alignment horizontal="center" vertical="center"/>
      <protection locked="0"/>
    </xf>
    <xf numFmtId="0" fontId="20" fillId="60" borderId="83" xfId="93" applyFont="1" applyFill="1" applyBorder="1" applyAlignment="1" applyProtection="1">
      <alignment horizontal="center" vertical="center"/>
      <protection locked="0"/>
    </xf>
    <xf numFmtId="0" fontId="18" fillId="192" borderId="35" xfId="0" applyFont="1" applyFill="1" applyBorder="1" applyAlignment="1" applyProtection="1">
      <alignment vertical="center"/>
      <protection/>
    </xf>
    <xf numFmtId="0" fontId="18" fillId="193" borderId="36" xfId="0" applyFont="1" applyFill="1" applyBorder="1" applyAlignment="1" applyProtection="1">
      <alignment vertical="center"/>
      <protection/>
    </xf>
    <xf numFmtId="14" fontId="20" fillId="0" borderId="23" xfId="93" applyNumberFormat="1" applyFont="1" applyFill="1" applyBorder="1" applyAlignment="1" applyProtection="1">
      <alignment horizontal="left" vertical="center" indent="1"/>
      <protection locked="0"/>
    </xf>
    <xf numFmtId="14" fontId="20" fillId="0" borderId="44" xfId="0" applyNumberFormat="1" applyFont="1" applyFill="1" applyBorder="1" applyAlignment="1" applyProtection="1">
      <alignment horizontal="left" vertical="center" indent="1"/>
      <protection locked="0"/>
    </xf>
    <xf numFmtId="0" fontId="0" fillId="0" borderId="25" xfId="0" applyBorder="1" applyAlignment="1">
      <alignment/>
    </xf>
    <xf numFmtId="0" fontId="0" fillId="0" borderId="43" xfId="0" applyBorder="1" applyAlignment="1">
      <alignment/>
    </xf>
    <xf numFmtId="0" fontId="18" fillId="194" borderId="25" xfId="93" applyFont="1" applyFill="1" applyBorder="1" applyAlignment="1" applyProtection="1" quotePrefix="1">
      <alignment horizontal="right" vertical="center" indent="1"/>
      <protection/>
    </xf>
    <xf numFmtId="0" fontId="18" fillId="195" borderId="43" xfId="93" applyFont="1" applyFill="1" applyBorder="1" applyAlignment="1" applyProtection="1" quotePrefix="1">
      <alignment horizontal="right" vertical="center" indent="1"/>
      <protection/>
    </xf>
    <xf numFmtId="0" fontId="18" fillId="196" borderId="85" xfId="93" applyFont="1" applyFill="1" applyBorder="1" applyAlignment="1" applyProtection="1" quotePrefix="1">
      <alignment horizontal="right" vertical="center" indent="1"/>
      <protection/>
    </xf>
    <xf numFmtId="0" fontId="18" fillId="197" borderId="23" xfId="0" applyFont="1" applyFill="1" applyBorder="1" applyAlignment="1">
      <alignment horizontal="right" vertical="center" indent="1"/>
    </xf>
    <xf numFmtId="0" fontId="18" fillId="198" borderId="14" xfId="93" applyFont="1" applyFill="1" applyBorder="1" applyAlignment="1">
      <alignment horizontal="right" vertical="center" indent="1"/>
      <protection/>
    </xf>
    <xf numFmtId="14" fontId="20" fillId="0" borderId="14" xfId="93" applyNumberFormat="1" applyFont="1" applyFill="1" applyBorder="1" applyAlignment="1" applyProtection="1">
      <alignment horizontal="left" vertical="center" indent="1"/>
      <protection locked="0"/>
    </xf>
    <xf numFmtId="14" fontId="20" fillId="0" borderId="50" xfId="0" applyNumberFormat="1" applyFont="1" applyFill="1" applyBorder="1" applyAlignment="1" applyProtection="1">
      <alignment horizontal="left" vertical="center" indent="1"/>
      <protection locked="0"/>
    </xf>
    <xf numFmtId="0" fontId="20" fillId="0" borderId="38" xfId="93" applyNumberFormat="1" applyFont="1" applyFill="1" applyBorder="1" applyAlignment="1" applyProtection="1">
      <alignment horizontal="left" vertical="center" indent="1"/>
      <protection locked="0"/>
    </xf>
    <xf numFmtId="0" fontId="20" fillId="0" borderId="48" xfId="93" applyNumberFormat="1" applyFont="1" applyFill="1" applyBorder="1" applyAlignment="1" applyProtection="1">
      <alignment horizontal="left" vertical="center" indent="1"/>
      <protection locked="0"/>
    </xf>
    <xf numFmtId="0" fontId="20" fillId="0" borderId="56" xfId="93" applyFont="1" applyFill="1" applyBorder="1" applyAlignment="1" applyProtection="1">
      <alignment horizontal="left" vertical="top"/>
      <protection locked="0"/>
    </xf>
    <xf numFmtId="0" fontId="20" fillId="0" borderId="10" xfId="93" applyFont="1" applyFill="1" applyBorder="1" applyAlignment="1" applyProtection="1">
      <alignment horizontal="left" vertical="top"/>
      <protection locked="0"/>
    </xf>
    <xf numFmtId="0" fontId="20" fillId="0" borderId="86" xfId="93" applyFont="1" applyFill="1" applyBorder="1" applyAlignment="1" applyProtection="1">
      <alignment horizontal="left" vertical="top"/>
      <protection locked="0"/>
    </xf>
    <xf numFmtId="0" fontId="18" fillId="199" borderId="55" xfId="93" applyFont="1" applyFill="1" applyBorder="1" applyAlignment="1" applyProtection="1">
      <alignment horizontal="right" vertical="center" shrinkToFit="1"/>
      <protection/>
    </xf>
    <xf numFmtId="0" fontId="18" fillId="200" borderId="14" xfId="93" applyFont="1" applyFill="1" applyBorder="1" applyAlignment="1" applyProtection="1">
      <alignment horizontal="right" vertical="center" shrinkToFit="1"/>
      <protection/>
    </xf>
    <xf numFmtId="0" fontId="18" fillId="201" borderId="57" xfId="93" applyFont="1" applyFill="1" applyBorder="1" applyAlignment="1" applyProtection="1">
      <alignment horizontal="center" vertical="center" wrapText="1"/>
      <protection/>
    </xf>
    <xf numFmtId="0" fontId="18" fillId="202" borderId="79" xfId="93" applyFont="1" applyFill="1" applyBorder="1" applyAlignment="1" applyProtection="1">
      <alignment horizontal="center" vertical="center" wrapText="1"/>
      <protection/>
    </xf>
    <xf numFmtId="0" fontId="38" fillId="203" borderId="53" xfId="0" applyNumberFormat="1" applyFont="1" applyFill="1" applyBorder="1" applyAlignment="1" applyProtection="1">
      <alignment horizontal="center" vertical="center"/>
      <protection/>
    </xf>
    <xf numFmtId="0" fontId="38" fillId="204" borderId="25" xfId="0" applyNumberFormat="1" applyFont="1" applyFill="1" applyBorder="1" applyAlignment="1" applyProtection="1">
      <alignment horizontal="center" vertical="center"/>
      <protection/>
    </xf>
    <xf numFmtId="0" fontId="38" fillId="205" borderId="43" xfId="0" applyNumberFormat="1" applyFont="1" applyFill="1" applyBorder="1" applyAlignment="1" applyProtection="1">
      <alignment horizontal="center" vertical="center"/>
      <protection/>
    </xf>
    <xf numFmtId="0" fontId="8" fillId="60" borderId="53" xfId="0" applyNumberFormat="1" applyFont="1" applyFill="1" applyBorder="1" applyAlignment="1" applyProtection="1">
      <alignment horizontal="center" vertical="center"/>
      <protection locked="0"/>
    </xf>
    <xf numFmtId="0" fontId="8" fillId="60" borderId="25" xfId="0" applyNumberFormat="1" applyFont="1" applyFill="1" applyBorder="1" applyAlignment="1" applyProtection="1">
      <alignment horizontal="center" vertical="center"/>
      <protection locked="0"/>
    </xf>
    <xf numFmtId="0" fontId="8" fillId="60" borderId="43" xfId="0" applyNumberFormat="1" applyFont="1" applyFill="1" applyBorder="1" applyAlignment="1" applyProtection="1">
      <alignment horizontal="center" vertical="center"/>
      <protection locked="0"/>
    </xf>
    <xf numFmtId="0" fontId="2" fillId="206" borderId="53" xfId="0" applyFont="1" applyFill="1" applyBorder="1" applyAlignment="1">
      <alignment horizontal="center" vertical="center"/>
    </xf>
    <xf numFmtId="0" fontId="2" fillId="207" borderId="25" xfId="0" applyFont="1" applyFill="1" applyBorder="1" applyAlignment="1">
      <alignment horizontal="center" vertical="center"/>
    </xf>
    <xf numFmtId="0" fontId="2" fillId="208" borderId="48" xfId="0" applyFont="1" applyFill="1" applyBorder="1" applyAlignment="1">
      <alignment horizontal="center" vertical="center"/>
    </xf>
    <xf numFmtId="49" fontId="20" fillId="0" borderId="61" xfId="93" applyNumberFormat="1" applyFont="1" applyFill="1" applyBorder="1" applyAlignment="1" applyProtection="1">
      <alignment horizontal="left" vertical="center" indent="1"/>
      <protection locked="0"/>
    </xf>
    <xf numFmtId="49" fontId="20" fillId="0" borderId="86" xfId="93" applyNumberFormat="1" applyFont="1" applyFill="1" applyBorder="1" applyAlignment="1" applyProtection="1">
      <alignment horizontal="left" vertical="center" indent="1"/>
      <protection locked="0"/>
    </xf>
    <xf numFmtId="0" fontId="0" fillId="209" borderId="28" xfId="0" applyFill="1" applyBorder="1" applyAlignment="1">
      <alignment horizontal="center" wrapText="1"/>
    </xf>
    <xf numFmtId="0" fontId="18" fillId="210" borderId="26" xfId="93" applyFont="1" applyFill="1" applyBorder="1" applyAlignment="1" applyProtection="1">
      <alignment horizontal="right" vertical="center" indent="1"/>
      <protection/>
    </xf>
    <xf numFmtId="0" fontId="18" fillId="211" borderId="80" xfId="93" applyFont="1" applyFill="1" applyBorder="1" applyAlignment="1" applyProtection="1">
      <alignment horizontal="right" vertical="center" indent="1"/>
      <protection/>
    </xf>
    <xf numFmtId="0" fontId="18" fillId="212" borderId="14" xfId="0" applyFont="1" applyFill="1" applyBorder="1" applyAlignment="1">
      <alignment horizontal="right" vertical="center" indent="1"/>
    </xf>
    <xf numFmtId="0" fontId="20" fillId="0" borderId="43" xfId="93" applyFont="1" applyFill="1" applyBorder="1" applyAlignment="1" applyProtection="1">
      <alignment horizontal="left" vertical="center" indent="1"/>
      <protection locked="0"/>
    </xf>
    <xf numFmtId="0" fontId="18" fillId="213" borderId="27" xfId="93" applyFont="1" applyFill="1" applyBorder="1" applyAlignment="1" applyProtection="1" quotePrefix="1">
      <alignment horizontal="right" vertical="center" indent="1"/>
      <protection/>
    </xf>
    <xf numFmtId="0" fontId="18" fillId="214" borderId="13" xfId="93" applyFont="1" applyFill="1" applyBorder="1" applyAlignment="1" applyProtection="1" quotePrefix="1">
      <alignment horizontal="right" vertical="center" indent="1"/>
      <protection/>
    </xf>
    <xf numFmtId="0" fontId="18" fillId="215" borderId="80" xfId="93" applyFont="1" applyFill="1" applyBorder="1" applyAlignment="1" applyProtection="1" quotePrefix="1">
      <alignment horizontal="right" vertical="center" indent="1"/>
      <protection/>
    </xf>
    <xf numFmtId="0" fontId="23" fillId="60" borderId="35" xfId="93" applyFont="1" applyFill="1" applyBorder="1" applyAlignment="1" applyProtection="1">
      <alignment horizontal="left" vertical="center" indent="1"/>
      <protection locked="0"/>
    </xf>
    <xf numFmtId="0" fontId="23" fillId="60" borderId="36" xfId="93" applyFont="1" applyFill="1" applyBorder="1" applyAlignment="1" applyProtection="1">
      <alignment horizontal="left" vertical="center" indent="1"/>
      <protection locked="0"/>
    </xf>
    <xf numFmtId="0" fontId="23" fillId="60" borderId="83" xfId="93" applyFont="1" applyFill="1" applyBorder="1" applyAlignment="1" applyProtection="1">
      <alignment horizontal="left" vertical="center" indent="1"/>
      <protection locked="0"/>
    </xf>
    <xf numFmtId="0" fontId="20" fillId="0" borderId="37" xfId="93" applyFont="1" applyFill="1" applyBorder="1" applyAlignment="1" applyProtection="1">
      <alignment horizontal="left" vertical="center" indent="1"/>
      <protection locked="0"/>
    </xf>
    <xf numFmtId="0" fontId="23" fillId="0" borderId="8" xfId="0" applyFont="1" applyBorder="1" applyAlignment="1">
      <alignment/>
    </xf>
    <xf numFmtId="0" fontId="18" fillId="216" borderId="87" xfId="0" applyFont="1" applyFill="1" applyBorder="1" applyAlignment="1">
      <alignment horizontal="center" vertical="center" wrapText="1"/>
    </xf>
    <xf numFmtId="0" fontId="18" fillId="216" borderId="39" xfId="0" applyFont="1" applyFill="1" applyBorder="1" applyAlignment="1">
      <alignment horizontal="center" vertical="center" wrapText="1"/>
    </xf>
    <xf numFmtId="0" fontId="18" fillId="216" borderId="88" xfId="0" applyFont="1" applyFill="1" applyBorder="1" applyAlignment="1">
      <alignment horizontal="center" vertical="center" wrapText="1"/>
    </xf>
    <xf numFmtId="186" fontId="20" fillId="0" borderId="67" xfId="0" applyNumberFormat="1" applyFont="1" applyBorder="1" applyAlignment="1">
      <alignment vertical="center"/>
    </xf>
    <xf numFmtId="0" fontId="50" fillId="0" borderId="67" xfId="0" applyFont="1" applyBorder="1" applyAlignment="1">
      <alignment horizontal="center" vertical="center" wrapText="1"/>
    </xf>
    <xf numFmtId="0" fontId="50" fillId="0" borderId="89"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60" xfId="0" applyFont="1" applyBorder="1" applyAlignment="1">
      <alignment horizontal="center" vertical="center" wrapText="1"/>
    </xf>
    <xf numFmtId="186" fontId="20" fillId="0" borderId="0" xfId="0" applyNumberFormat="1" applyFont="1" applyBorder="1" applyAlignment="1">
      <alignment vertical="center"/>
    </xf>
    <xf numFmtId="0" fontId="18" fillId="0" borderId="90" xfId="87" applyFont="1" applyBorder="1" applyAlignment="1">
      <alignment horizontal="right" vertical="center"/>
      <protection/>
    </xf>
    <xf numFmtId="0" fontId="18" fillId="0" borderId="66" xfId="87" applyFont="1" applyBorder="1" applyAlignment="1">
      <alignment horizontal="right" vertical="center"/>
      <protection/>
    </xf>
    <xf numFmtId="2" fontId="20" fillId="0" borderId="66" xfId="0" applyNumberFormat="1" applyFont="1" applyBorder="1" applyAlignment="1">
      <alignment vertical="center"/>
    </xf>
    <xf numFmtId="0" fontId="50" fillId="0" borderId="66" xfId="87" applyFont="1" applyBorder="1" applyAlignment="1">
      <alignment horizontal="center" vertical="center" wrapText="1"/>
      <protection/>
    </xf>
    <xf numFmtId="0" fontId="50" fillId="0" borderId="91" xfId="87" applyFont="1" applyBorder="1" applyAlignment="1">
      <alignment horizontal="center" vertical="center" wrapText="1"/>
      <protection/>
    </xf>
    <xf numFmtId="0" fontId="21" fillId="0" borderId="36" xfId="0" applyFont="1" applyFill="1" applyBorder="1" applyAlignment="1">
      <alignment vertical="center"/>
    </xf>
    <xf numFmtId="0" fontId="21" fillId="0" borderId="83" xfId="0" applyFont="1" applyFill="1" applyBorder="1" applyAlignment="1">
      <alignment vertical="center"/>
    </xf>
    <xf numFmtId="182" fontId="21" fillId="0" borderId="0" xfId="0" applyNumberFormat="1" applyFont="1" applyFill="1" applyBorder="1" applyAlignment="1">
      <alignment vertical="center"/>
    </xf>
    <xf numFmtId="182" fontId="21" fillId="0" borderId="74" xfId="0" applyNumberFormat="1" applyFont="1" applyFill="1" applyBorder="1" applyAlignment="1">
      <alignment vertical="center"/>
    </xf>
    <xf numFmtId="0" fontId="21" fillId="217" borderId="74"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20" fillId="0" borderId="0" xfId="0" applyNumberFormat="1" applyFont="1" applyFill="1" applyBorder="1" applyAlignment="1">
      <alignment horizontal="right"/>
    </xf>
    <xf numFmtId="0" fontId="63" fillId="0" borderId="0" xfId="0" applyFont="1" applyFill="1" applyBorder="1" applyAlignment="1">
      <alignment horizontal="center" vertical="center" wrapText="1"/>
    </xf>
    <xf numFmtId="0" fontId="21" fillId="0" borderId="8" xfId="0" applyFont="1" applyFill="1" applyBorder="1" applyAlignment="1">
      <alignment vertical="center"/>
    </xf>
    <xf numFmtId="0" fontId="18" fillId="218" borderId="61" xfId="95" applyFont="1" applyFill="1" applyBorder="1" applyAlignment="1">
      <alignment horizontal="center" vertical="center"/>
      <protection/>
    </xf>
    <xf numFmtId="0" fontId="18" fillId="219" borderId="10" xfId="95" applyFont="1" applyFill="1" applyBorder="1" applyAlignment="1">
      <alignment horizontal="center" vertical="center"/>
      <protection/>
    </xf>
    <xf numFmtId="0" fontId="18" fillId="220" borderId="38" xfId="95" applyFont="1" applyFill="1" applyBorder="1" applyAlignment="1">
      <alignment horizontal="center" vertical="center"/>
      <protection/>
    </xf>
    <xf numFmtId="0" fontId="18" fillId="221" borderId="25" xfId="95" applyFont="1" applyFill="1" applyBorder="1" applyAlignment="1">
      <alignment horizontal="center" vertical="center"/>
      <protection/>
    </xf>
    <xf numFmtId="0" fontId="23" fillId="69" borderId="23" xfId="99" applyFont="1" applyFill="1" applyBorder="1" applyAlignment="1" applyProtection="1">
      <alignment vertical="center" wrapText="1"/>
      <protection/>
    </xf>
    <xf numFmtId="0" fontId="23" fillId="0" borderId="14" xfId="100" applyFont="1" applyFill="1" applyBorder="1" applyAlignment="1" applyProtection="1">
      <alignment horizontal="left" vertical="top" wrapText="1" indent="1"/>
      <protection/>
    </xf>
    <xf numFmtId="0" fontId="23" fillId="123" borderId="14" xfId="100" applyFont="1" applyFill="1" applyBorder="1" applyAlignment="1" applyProtection="1">
      <alignment horizontal="left" vertical="top" wrapText="1" indent="1"/>
      <protection/>
    </xf>
    <xf numFmtId="14" fontId="20" fillId="0" borderId="8" xfId="99" applyNumberFormat="1" applyFont="1" applyFill="1" applyBorder="1" applyAlignment="1" applyProtection="1">
      <alignment horizontal="left" vertical="center" indent="1"/>
      <protection/>
    </xf>
    <xf numFmtId="0" fontId="23" fillId="69" borderId="23" xfId="96" applyFont="1" applyFill="1" applyBorder="1" applyAlignment="1" applyProtection="1">
      <alignment horizontal="left" vertical="center" wrapText="1"/>
      <protection/>
    </xf>
    <xf numFmtId="0" fontId="23" fillId="69" borderId="23" xfId="99" applyFont="1" applyFill="1" applyBorder="1" applyAlignment="1" applyProtection="1">
      <alignment horizontal="left" vertical="center" wrapText="1"/>
      <protection/>
    </xf>
    <xf numFmtId="0" fontId="23" fillId="0" borderId="14" xfId="97" applyFont="1" applyFill="1" applyBorder="1" applyAlignment="1" applyProtection="1">
      <alignment horizontal="left" vertical="top" wrapText="1" indent="1"/>
      <protection/>
    </xf>
    <xf numFmtId="0" fontId="23" fillId="123" borderId="14" xfId="97" applyFont="1" applyFill="1" applyBorder="1" applyAlignment="1" applyProtection="1">
      <alignment horizontal="left" vertical="top" wrapText="1" indent="1"/>
      <protection/>
    </xf>
    <xf numFmtId="0" fontId="23" fillId="222" borderId="47" xfId="95" applyFont="1" applyFill="1" applyBorder="1" applyAlignment="1">
      <alignment horizontal="center"/>
      <protection/>
    </xf>
    <xf numFmtId="0" fontId="23" fillId="223" borderId="39" xfId="95" applyFont="1" applyFill="1" applyBorder="1" applyAlignment="1">
      <alignment horizontal="center"/>
      <protection/>
    </xf>
    <xf numFmtId="0" fontId="18" fillId="224" borderId="14" xfId="92" applyFont="1" applyFill="1" applyBorder="1" applyAlignment="1" applyProtection="1">
      <alignment horizontal="right" vertical="center" indent="1"/>
      <protection/>
    </xf>
    <xf numFmtId="0" fontId="20" fillId="225" borderId="14" xfId="92" applyNumberFormat="1" applyFont="1" applyFill="1" applyBorder="1" applyAlignment="1" applyProtection="1">
      <alignment horizontal="left" vertical="center" indent="1"/>
      <protection/>
    </xf>
    <xf numFmtId="0" fontId="18" fillId="226" borderId="14" xfId="92" applyFont="1" applyFill="1" applyBorder="1" applyAlignment="1" applyProtection="1" quotePrefix="1">
      <alignment horizontal="right" vertical="center" indent="1"/>
      <protection/>
    </xf>
    <xf numFmtId="0" fontId="23" fillId="216" borderId="92" xfId="92" applyFont="1" applyFill="1" applyBorder="1" applyAlignment="1" applyProtection="1">
      <alignment horizontal="center" vertical="center" wrapText="1"/>
      <protection/>
    </xf>
    <xf numFmtId="0" fontId="23" fillId="216" borderId="92" xfId="92" applyFont="1" applyFill="1" applyBorder="1" applyAlignment="1" applyProtection="1" quotePrefix="1">
      <alignment horizontal="center" vertical="center"/>
      <protection/>
    </xf>
    <xf numFmtId="0" fontId="23" fillId="216" borderId="11" xfId="92" applyFont="1" applyFill="1" applyBorder="1" applyAlignment="1" applyProtection="1" quotePrefix="1">
      <alignment horizontal="center" vertical="center"/>
      <protection/>
    </xf>
    <xf numFmtId="0" fontId="21" fillId="0" borderId="8" xfId="0" applyFont="1" applyBorder="1" applyAlignment="1" applyProtection="1">
      <alignment horizontal="left" vertical="center"/>
      <protection/>
    </xf>
    <xf numFmtId="0" fontId="23" fillId="216" borderId="27" xfId="92" applyFont="1" applyFill="1" applyBorder="1" applyAlignment="1" applyProtection="1">
      <alignment horizontal="center" vertical="center"/>
      <protection/>
    </xf>
    <xf numFmtId="0" fontId="23" fillId="216" borderId="13" xfId="92" applyFont="1" applyFill="1" applyBorder="1" applyAlignment="1" applyProtection="1" quotePrefix="1">
      <alignment horizontal="center" vertical="center"/>
      <protection/>
    </xf>
    <xf numFmtId="0" fontId="23" fillId="216" borderId="80" xfId="92" applyFont="1" applyFill="1" applyBorder="1" applyAlignment="1" applyProtection="1" quotePrefix="1">
      <alignment horizontal="center" vertical="center"/>
      <protection/>
    </xf>
    <xf numFmtId="0" fontId="22" fillId="227" borderId="85" xfId="101" applyFont="1" applyFill="1" applyBorder="1" applyAlignment="1">
      <alignment horizontal="center" vertical="center" wrapText="1"/>
      <protection/>
    </xf>
    <xf numFmtId="165" fontId="22" fillId="228" borderId="44" xfId="107" applyFont="1" applyFill="1" applyBorder="1" applyAlignment="1">
      <alignment horizontal="center" vertical="center" wrapText="1"/>
      <protection/>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20% - Accent6 2" xfId="25"/>
    <cellStyle name="40% - Accent1" xfId="26"/>
    <cellStyle name="40% - Accent1 2" xfId="27"/>
    <cellStyle name="40% - Accent2" xfId="28"/>
    <cellStyle name="40% - Accent3" xfId="29"/>
    <cellStyle name="40% - Accent3 2" xfId="30"/>
    <cellStyle name="40% - Accent4" xfId="31"/>
    <cellStyle name="40% - Accent4 2" xfId="32"/>
    <cellStyle name="40% - Accent5" xfId="33"/>
    <cellStyle name="40% - Accent5 2" xfId="34"/>
    <cellStyle name="40% - Accent6" xfId="35"/>
    <cellStyle name="40% - Accent6 2" xfId="36"/>
    <cellStyle name="60% - Accent1" xfId="37"/>
    <cellStyle name="60% - Accent2" xfId="38"/>
    <cellStyle name="60% - Accent3" xfId="39"/>
    <cellStyle name="60% - Accent4" xfId="40"/>
    <cellStyle name="60% - Accent5" xfId="41"/>
    <cellStyle name="60% - Accent6" xfId="42"/>
    <cellStyle name="Accent1" xfId="43"/>
    <cellStyle name="Accent1 2" xfId="44"/>
    <cellStyle name="Accent2" xfId="45"/>
    <cellStyle name="Accent2 2" xfId="46"/>
    <cellStyle name="Accent3" xfId="47"/>
    <cellStyle name="Accent3 2" xfId="48"/>
    <cellStyle name="Accent4" xfId="49"/>
    <cellStyle name="Accent4 2" xfId="50"/>
    <cellStyle name="Accent5" xfId="51"/>
    <cellStyle name="Accent6" xfId="52"/>
    <cellStyle name="Accent6 2" xfId="53"/>
    <cellStyle name="Bad" xfId="54"/>
    <cellStyle name="Calculation" xfId="55"/>
    <cellStyle name="Check Cell" xfId="56"/>
    <cellStyle name="Comma" xfId="57"/>
    <cellStyle name="Comma [0]" xfId="58"/>
    <cellStyle name="Comma0" xfId="59"/>
    <cellStyle name="Comma0 2" xfId="60"/>
    <cellStyle name="Comma0 3" xfId="61"/>
    <cellStyle name="Currency" xfId="62"/>
    <cellStyle name="Currency [0]" xfId="63"/>
    <cellStyle name="Currency0" xfId="64"/>
    <cellStyle name="Currency0 2" xfId="65"/>
    <cellStyle name="Currency0 3" xfId="66"/>
    <cellStyle name="Date" xfId="67"/>
    <cellStyle name="Date 2" xfId="68"/>
    <cellStyle name="Date 3" xfId="69"/>
    <cellStyle name="Explanatory Text" xfId="70"/>
    <cellStyle name="Fixed" xfId="71"/>
    <cellStyle name="Fixed 2" xfId="72"/>
    <cellStyle name="Fixed 3" xfId="73"/>
    <cellStyle name="Followed Hyperlink" xfId="74"/>
    <cellStyle name="Good" xfId="75"/>
    <cellStyle name="Heading 1" xfId="76"/>
    <cellStyle name="Heading 2" xfId="77"/>
    <cellStyle name="Heading 3" xfId="78"/>
    <cellStyle name="Heading 4" xfId="79"/>
    <cellStyle name="Hyperlink" xfId="80"/>
    <cellStyle name="Hyperlink 2" xfId="81"/>
    <cellStyle name="Hyperlink 2 2" xfId="82"/>
    <cellStyle name="Hyperlink 2 3" xfId="83"/>
    <cellStyle name="Input" xfId="84"/>
    <cellStyle name="Linked Cell" xfId="85"/>
    <cellStyle name="Neutral" xfId="86"/>
    <cellStyle name="Normal 2" xfId="87"/>
    <cellStyle name="Normal 2 2" xfId="88"/>
    <cellStyle name="Normal 2 3" xfId="89"/>
    <cellStyle name="Normal 3" xfId="90"/>
    <cellStyle name="Normal_Calculations" xfId="91"/>
    <cellStyle name="Normal_CIPM Air Density" xfId="92"/>
    <cellStyle name="Normal_Data Entry Sheet" xfId="93"/>
    <cellStyle name="Normal_Data Entry Sheet 2" xfId="94"/>
    <cellStyle name="Normal_GravCal" xfId="95"/>
    <cellStyle name="Normal_GravCal 2" xfId="96"/>
    <cellStyle name="Normal_GravCal 2 2" xfId="97"/>
    <cellStyle name="Normal_Gravimetric Uncertainty Analysis" xfId="98"/>
    <cellStyle name="Normal_Gravimetric Uncertainty Analysis 2" xfId="99"/>
    <cellStyle name="Normal_Gravimetric Uncertainty Analysis 2 2" xfId="100"/>
    <cellStyle name="Normal_UncRounding_GH" xfId="101"/>
    <cellStyle name="Normal_WA Blank Mass Control Chart" xfId="102"/>
    <cellStyle name="Normal_WAMRF-005 (draft-6), Volume Gravimetric" xfId="103"/>
    <cellStyle name="Normal_WAMRF-005 (Rev. 4), Volume Gravimetric" xfId="104"/>
    <cellStyle name="Normal_WAMRF-006 (Rev. 11), Modified Substitution" xfId="105"/>
    <cellStyle name="Normal_WAMRF-013 (Rev. 17), Volume Transfer, Prover" xfId="106"/>
    <cellStyle name="Normal_WAMRF-013 (Rev. 5), Volume Transfer, Prover" xfId="107"/>
    <cellStyle name="Note" xfId="108"/>
    <cellStyle name="Note 2" xfId="109"/>
    <cellStyle name="Note 2 2" xfId="110"/>
    <cellStyle name="Note 2 3" xfId="111"/>
    <cellStyle name="Output" xfId="112"/>
    <cellStyle name="Percent" xfId="113"/>
    <cellStyle name="Percent 2" xfId="114"/>
    <cellStyle name="Percent 2 2" xfId="115"/>
    <cellStyle name="Percent 2 3" xfId="116"/>
    <cellStyle name="Title" xfId="117"/>
    <cellStyle name="Total" xfId="118"/>
    <cellStyle name="Total 2" xfId="119"/>
    <cellStyle name="Total 3" xfId="120"/>
    <cellStyle name="Warning Text" xfId="121"/>
  </cellStyles>
  <dxfs count="43">
    <dxf>
      <font>
        <b val="0"/>
        <i/>
      </font>
      <fill>
        <patternFill>
          <fgColor indexed="64"/>
          <bgColor rgb="FFFF0000"/>
        </patternFill>
      </fill>
    </dxf>
    <dxf>
      <font>
        <b val="0"/>
        <i/>
      </font>
      <fill>
        <patternFill>
          <fgColor indexed="64"/>
          <bgColor rgb="FF92D050"/>
        </patternFill>
      </fill>
    </dxf>
    <dxf>
      <font>
        <strike val="0"/>
        <color indexed="9"/>
      </font>
      <fill>
        <patternFill>
          <bgColor indexed="9"/>
        </patternFill>
      </fill>
    </dxf>
    <dxf>
      <font>
        <b val="0"/>
        <i/>
      </font>
      <fill>
        <patternFill>
          <fgColor indexed="64"/>
          <bgColor rgb="FFFF0000"/>
        </patternFill>
      </fill>
    </dxf>
    <dxf>
      <font>
        <b val="0"/>
        <i/>
      </font>
      <fill>
        <patternFill>
          <fgColor indexed="64"/>
          <bgColor rgb="FF92D050"/>
        </patternFill>
      </fill>
    </dxf>
    <dxf>
      <font>
        <b val="0"/>
        <i/>
      </font>
      <fill>
        <patternFill>
          <fgColor indexed="64"/>
          <bgColor rgb="FF92D050"/>
        </patternFill>
      </fill>
    </dxf>
    <dxf>
      <font>
        <b val="0"/>
        <i/>
      </font>
      <fill>
        <patternFill>
          <fgColor indexed="64"/>
          <bgColor rgb="FFFFFF66"/>
        </patternFill>
      </fill>
    </dxf>
    <dxf>
      <font>
        <color indexed="9"/>
      </font>
      <fill>
        <patternFill>
          <bgColor indexed="9"/>
        </patternFill>
      </fill>
      <border>
        <left/>
        <right/>
        <top/>
        <bottom/>
      </border>
    </dxf>
    <dxf>
      <font>
        <b val="0"/>
        <i/>
      </font>
      <fill>
        <patternFill>
          <fgColor indexed="64"/>
          <bgColor rgb="FF92D050"/>
        </patternFill>
      </fill>
    </dxf>
    <dxf>
      <font>
        <b val="0"/>
        <i/>
      </font>
      <fill>
        <patternFill>
          <fgColor indexed="64"/>
          <bgColor rgb="FFFFFF66"/>
        </patternFill>
      </fill>
    </dxf>
    <dxf>
      <font>
        <color theme="0"/>
      </font>
      <fill>
        <patternFill patternType="none">
          <bgColor indexed="65"/>
        </patternFill>
      </fill>
    </dxf>
    <dxf>
      <font>
        <color indexed="9"/>
      </font>
      <fill>
        <patternFill>
          <bgColor indexed="9"/>
        </patternFill>
      </fill>
    </dxf>
    <dxf>
      <fill>
        <patternFill>
          <bgColor rgb="FFFFFF99"/>
        </patternFill>
      </fill>
    </dxf>
    <dxf>
      <fill>
        <patternFill>
          <bgColor rgb="FFFF0000"/>
        </patternFill>
      </fill>
    </dxf>
    <dxf>
      <font>
        <color theme="0"/>
      </font>
    </dxf>
    <dxf>
      <font>
        <color auto="1"/>
      </font>
      <fill>
        <patternFill>
          <fgColor indexed="64"/>
          <bgColor rgb="FFFF0000"/>
        </patternFill>
      </fill>
    </dxf>
    <dxf>
      <font>
        <color auto="1"/>
      </font>
      <fill>
        <patternFill>
          <fgColor indexed="64"/>
          <bgColor rgb="FF00B050"/>
        </patternFill>
      </fill>
    </dxf>
    <dxf>
      <font>
        <color indexed="9"/>
      </font>
      <fill>
        <patternFill>
          <bgColor indexed="9"/>
        </patternFill>
      </fill>
      <border>
        <left/>
        <right/>
        <top/>
        <bottom/>
      </border>
    </dxf>
    <dxf>
      <fill>
        <patternFill>
          <bgColor rgb="FFFFFF99"/>
        </patternFill>
      </fill>
    </dxf>
    <dxf>
      <fill>
        <patternFill>
          <bgColor theme="8" tint="0.5999600291252136"/>
        </patternFill>
      </fill>
    </dxf>
    <dxf>
      <fill>
        <patternFill>
          <bgColor rgb="FFFFFF99"/>
        </patternFill>
      </fill>
    </dxf>
    <dxf>
      <fill>
        <patternFill>
          <bgColor theme="8" tint="0.5999600291252136"/>
        </patternFill>
      </fill>
    </dxf>
    <dxf>
      <fill>
        <patternFill>
          <bgColor theme="8" tint="0.5999600291252136"/>
        </patternFill>
      </fill>
    </dxf>
    <dxf>
      <font>
        <color rgb="FFFF0000"/>
      </font>
      <fill>
        <patternFill patternType="none">
          <bgColor indexed="65"/>
        </patternFill>
      </fill>
    </dxf>
    <dxf>
      <fill>
        <patternFill>
          <bgColor rgb="FFFFFF99"/>
        </patternFill>
      </fill>
    </dxf>
    <dxf>
      <fill>
        <patternFill>
          <bgColor rgb="FFFFFF99"/>
        </patternFill>
      </fill>
    </dxf>
    <dxf>
      <fill>
        <patternFill>
          <bgColor theme="8" tint="0.5999600291252136"/>
        </patternFill>
      </fill>
    </dxf>
    <dxf>
      <fill>
        <patternFill>
          <bgColor theme="8" tint="0.5999600291252136"/>
        </patternFill>
      </fill>
    </dxf>
    <dxf>
      <fill>
        <patternFill>
          <bgColor rgb="FFFFFF99"/>
        </patternFill>
      </fill>
    </dxf>
    <dxf>
      <fill>
        <patternFill>
          <bgColor rgb="FFFFFF99"/>
        </patternFill>
      </fill>
    </dxf>
    <dxf>
      <fill>
        <patternFill>
          <bgColor rgb="FF92D050"/>
        </patternFill>
      </fill>
    </dxf>
    <dxf>
      <fill>
        <patternFill>
          <bgColor rgb="FFFF0000"/>
        </patternFill>
      </fill>
    </dxf>
    <dxf>
      <fill>
        <patternFill>
          <bgColor theme="8" tint="0.5999600291252136"/>
        </patternFill>
      </fill>
    </dxf>
    <dxf>
      <fill>
        <patternFill>
          <bgColor theme="8" tint="0.5999600291252136"/>
        </patternFill>
      </fill>
    </dxf>
    <dxf>
      <font>
        <color rgb="FFFF0000"/>
      </font>
      <fill>
        <patternFill>
          <bgColor theme="5" tint="0.5999600291252136"/>
        </patternFill>
      </fill>
    </dxf>
    <dxf>
      <fill>
        <patternFill>
          <bgColor rgb="FFFFFF99"/>
        </patternFill>
      </fill>
    </dxf>
    <dxf>
      <fill>
        <patternFill>
          <bgColor theme="8" tint="0.5999600291252136"/>
        </patternFill>
      </fill>
    </dxf>
    <dxf>
      <font>
        <color rgb="FFFF0000"/>
      </font>
      <fill>
        <patternFill>
          <bgColor theme="5" tint="0.5999600291252136"/>
        </patternFill>
      </fill>
    </dxf>
    <dxf>
      <fill>
        <patternFill>
          <bgColor rgb="FFFFFF99"/>
        </patternFill>
      </fill>
    </dxf>
    <dxf>
      <font>
        <color indexed="9"/>
      </font>
      <fill>
        <patternFill>
          <bgColor indexed="9"/>
        </patternFill>
      </fill>
      <border>
        <left/>
        <right/>
        <top/>
        <bottom/>
      </border>
    </dxf>
    <dxf>
      <font>
        <strike val="0"/>
        <color rgb="FFFF0000"/>
      </font>
    </dxf>
    <dxf>
      <font>
        <strike val="0"/>
        <color rgb="FFFF0000"/>
      </font>
    </dxf>
    <dxf>
      <font>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Uncertainty Analysis
Mass Echelon II Calibration</a:t>
            </a:r>
          </a:p>
        </c:rich>
      </c:tx>
      <c:layout>
        <c:manualLayout>
          <c:xMode val="factor"/>
          <c:yMode val="factor"/>
          <c:x val="-0.0275"/>
          <c:y val="-0.0055"/>
        </c:manualLayout>
      </c:layout>
      <c:spPr>
        <a:noFill/>
        <a:ln w="3175">
          <a:noFill/>
        </a:ln>
      </c:spPr>
    </c:title>
    <c:plotArea>
      <c:layout>
        <c:manualLayout>
          <c:xMode val="edge"/>
          <c:yMode val="edge"/>
          <c:x val="0.084"/>
          <c:y val="0.1275"/>
          <c:w val="0.8895"/>
          <c:h val="0.75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'Uncertainty Analysis'!$C$38:$C$41</c:f>
              <c:strCache/>
            </c:strRef>
          </c:cat>
          <c:val>
            <c:numRef>
              <c:f>'Uncertainty Analysis'!$H$38:$H$41</c:f>
              <c:numCache/>
            </c:numRef>
          </c:val>
        </c:ser>
        <c:axId val="3617936"/>
        <c:axId val="32561425"/>
      </c:barChart>
      <c:catAx>
        <c:axId val="3617936"/>
        <c:scaling>
          <c:orientation val="minMax"/>
        </c:scaling>
        <c:axPos val="b"/>
        <c:title>
          <c:tx>
            <c:rich>
              <a:bodyPr vert="horz" rot="0" anchor="ctr"/>
              <a:lstStyle/>
              <a:p>
                <a:pPr algn="ctr">
                  <a:defRPr/>
                </a:pPr>
                <a:r>
                  <a:rPr lang="en-US" cap="none" sz="1200" b="0" i="0" u="none" baseline="0">
                    <a:solidFill>
                      <a:srgbClr val="000000"/>
                    </a:solidFill>
                  </a:rPr>
                  <a:t>Impact Components</a:t>
                </a:r>
              </a:p>
            </c:rich>
          </c:tx>
          <c:layout>
            <c:manualLayout>
              <c:xMode val="factor"/>
              <c:yMode val="factor"/>
              <c:x val="-0.02225"/>
              <c:y val="-0.015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2561425"/>
        <c:crosses val="autoZero"/>
        <c:auto val="1"/>
        <c:lblOffset val="100"/>
        <c:tickLblSkip val="1"/>
        <c:noMultiLvlLbl val="0"/>
      </c:catAx>
      <c:valAx>
        <c:axId val="32561425"/>
        <c:scaling>
          <c:orientation val="minMax"/>
        </c:scaling>
        <c:axPos val="l"/>
        <c:title>
          <c:tx>
            <c:rich>
              <a:bodyPr vert="horz" rot="-5400000" anchor="ctr"/>
              <a:lstStyle/>
              <a:p>
                <a:pPr algn="ctr">
                  <a:defRPr/>
                </a:pPr>
                <a:r>
                  <a:rPr lang="en-US" cap="none" sz="1200" b="0" i="0" u="none" baseline="0">
                    <a:solidFill>
                      <a:srgbClr val="000000"/>
                    </a:solidFill>
                  </a:rPr>
                  <a:t>Value in g</a:t>
                </a:r>
              </a:p>
            </c:rich>
          </c:tx>
          <c:layout>
            <c:manualLayout>
              <c:xMode val="factor"/>
              <c:yMode val="factor"/>
              <c:x val="-0.01675"/>
              <c:y val="0.00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61793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0</xdr:row>
      <xdr:rowOff>19050</xdr:rowOff>
    </xdr:from>
    <xdr:to>
      <xdr:col>10</xdr:col>
      <xdr:colOff>352425</xdr:colOff>
      <xdr:row>1</xdr:row>
      <xdr:rowOff>85725</xdr:rowOff>
    </xdr:to>
    <xdr:sp>
      <xdr:nvSpPr>
        <xdr:cNvPr id="1" name="Comment 3"/>
        <xdr:cNvSpPr>
          <a:spLocks/>
        </xdr:cNvSpPr>
      </xdr:nvSpPr>
      <xdr:spPr>
        <a:xfrm>
          <a:off x="266700" y="19050"/>
          <a:ext cx="5819775" cy="228600"/>
        </a:xfrm>
        <a:prstGeom prst="round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900" b="1" i="0" u="none" baseline="0">
              <a:solidFill>
                <a:srgbClr val="800000"/>
              </a:solidFill>
            </a:rPr>
            <a:t>Unprotect the worksheet, then double click the document to open in Adobe Acrobat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0</xdr:row>
      <xdr:rowOff>0</xdr:rowOff>
    </xdr:from>
    <xdr:to>
      <xdr:col>6</xdr:col>
      <xdr:colOff>171450</xdr:colOff>
      <xdr:row>9</xdr:row>
      <xdr:rowOff>76200</xdr:rowOff>
    </xdr:to>
    <xdr:pic>
      <xdr:nvPicPr>
        <xdr:cNvPr id="1" name="Picture 1" descr="WSDALogo-Lab-Letterhead.png"/>
        <xdr:cNvPicPr preferRelativeResize="1">
          <a:picLocks noChangeAspect="1"/>
        </xdr:cNvPicPr>
      </xdr:nvPicPr>
      <xdr:blipFill>
        <a:blip r:embed="rId1"/>
        <a:stretch>
          <a:fillRect/>
        </a:stretch>
      </xdr:blipFill>
      <xdr:spPr>
        <a:xfrm>
          <a:off x="723900" y="0"/>
          <a:ext cx="4762500" cy="1914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85725</xdr:rowOff>
    </xdr:from>
    <xdr:to>
      <xdr:col>9</xdr:col>
      <xdr:colOff>752475</xdr:colOff>
      <xdr:row>71</xdr:row>
      <xdr:rowOff>0</xdr:rowOff>
    </xdr:to>
    <xdr:graphicFrame>
      <xdr:nvGraphicFramePr>
        <xdr:cNvPr id="1" name="Chart 2"/>
        <xdr:cNvGraphicFramePr/>
      </xdr:nvGraphicFramePr>
      <xdr:xfrm>
        <a:off x="0" y="14363700"/>
        <a:ext cx="8382000" cy="3495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IST%20HB%20145,%20SOP%2021%20-%20LPG%20Provers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Documents%20and%20Settings\Dan%20Wright\My%20Documents\WSDA%20Metrology%20Laboratory\Uncertainties\Budgets\GravC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Georgia\Calibration%20Procedures%20for%20Website\Spreadsheets%20for%20Job%20Aids\Templates\Measurement%20Related\Volume%20Calibrations\Volume%20Workbook%20Templates\Uncertainties\GravC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Georgia\Calibration%20Procedures%20for%20Website\Spreadsheets%20for%20Job%20Aids\Templates\Measurement%20Related\Uncertainties\GravC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45LPG"/>
      <sheetName val="Current"/>
      <sheetName val="Pcorr Table &amp; Chart"/>
    </sheetNames>
    <sheetDataSet>
      <sheetData sheetId="0">
        <row r="67">
          <cell r="F67">
            <v>1</v>
          </cell>
        </row>
        <row r="99">
          <cell r="G99">
            <v>0</v>
          </cell>
          <cell r="I99">
            <v>0</v>
          </cell>
          <cell r="J99" t="e">
            <v>#VALUE!</v>
          </cell>
        </row>
        <row r="100">
          <cell r="G100">
            <v>10</v>
          </cell>
          <cell r="I100">
            <v>0</v>
          </cell>
          <cell r="J100" t="e">
            <v>#VALUE!</v>
          </cell>
        </row>
        <row r="101">
          <cell r="G101">
            <v>20</v>
          </cell>
          <cell r="I101">
            <v>0</v>
          </cell>
          <cell r="J101" t="e">
            <v>#VALUE!</v>
          </cell>
        </row>
        <row r="102">
          <cell r="G102">
            <v>30</v>
          </cell>
          <cell r="I102">
            <v>0</v>
          </cell>
          <cell r="J102" t="e">
            <v>#VALUE!</v>
          </cell>
        </row>
        <row r="103">
          <cell r="G103">
            <v>40</v>
          </cell>
          <cell r="I103">
            <v>0</v>
          </cell>
          <cell r="J103" t="e">
            <v>#VALUE!</v>
          </cell>
        </row>
        <row r="104">
          <cell r="G104">
            <v>50</v>
          </cell>
          <cell r="I104">
            <v>0</v>
          </cell>
          <cell r="J104" t="e">
            <v>#VALUE!</v>
          </cell>
        </row>
        <row r="105">
          <cell r="G105">
            <v>60</v>
          </cell>
          <cell r="I105">
            <v>0</v>
          </cell>
          <cell r="J105" t="e">
            <v>#VALUE!</v>
          </cell>
        </row>
        <row r="106">
          <cell r="G106">
            <v>70</v>
          </cell>
          <cell r="I106">
            <v>0</v>
          </cell>
          <cell r="J106" t="e">
            <v>#VALUE!</v>
          </cell>
        </row>
        <row r="107">
          <cell r="G107">
            <v>80</v>
          </cell>
          <cell r="I107">
            <v>0</v>
          </cell>
          <cell r="J107" t="e">
            <v>#VALUE!</v>
          </cell>
        </row>
        <row r="108">
          <cell r="G108">
            <v>90</v>
          </cell>
          <cell r="I108">
            <v>0</v>
          </cell>
          <cell r="J108" t="e">
            <v>#VALUE!</v>
          </cell>
        </row>
        <row r="109">
          <cell r="G109">
            <v>100</v>
          </cell>
          <cell r="I109">
            <v>0</v>
          </cell>
          <cell r="J109" t="e">
            <v>#VALUE!</v>
          </cell>
        </row>
        <row r="110">
          <cell r="G110">
            <v>110</v>
          </cell>
          <cell r="I110">
            <v>0</v>
          </cell>
          <cell r="J110" t="e">
            <v>#VALUE!</v>
          </cell>
        </row>
        <row r="111">
          <cell r="G111">
            <v>120</v>
          </cell>
          <cell r="I111">
            <v>0</v>
          </cell>
          <cell r="J111" t="e">
            <v>#VALUE!</v>
          </cell>
        </row>
        <row r="112">
          <cell r="G112">
            <v>130</v>
          </cell>
          <cell r="I112">
            <v>0</v>
          </cell>
          <cell r="J112" t="e">
            <v>#VALUE!</v>
          </cell>
        </row>
        <row r="113">
          <cell r="G113">
            <v>140</v>
          </cell>
          <cell r="I113">
            <v>0</v>
          </cell>
          <cell r="J113" t="e">
            <v>#VALUE!</v>
          </cell>
        </row>
        <row r="114">
          <cell r="G114">
            <v>150</v>
          </cell>
          <cell r="I114">
            <v>0</v>
          </cell>
          <cell r="J114" t="e">
            <v>#VALUE!</v>
          </cell>
        </row>
        <row r="115">
          <cell r="G115">
            <v>160</v>
          </cell>
          <cell r="I115">
            <v>0</v>
          </cell>
          <cell r="J115" t="e">
            <v>#VALUE!</v>
          </cell>
        </row>
        <row r="116">
          <cell r="G116">
            <v>170</v>
          </cell>
          <cell r="I116">
            <v>0</v>
          </cell>
          <cell r="J116" t="e">
            <v>#VALUE!</v>
          </cell>
        </row>
        <row r="117">
          <cell r="G117">
            <v>180</v>
          </cell>
          <cell r="I117">
            <v>0</v>
          </cell>
          <cell r="J117" t="e">
            <v>#VALUE!</v>
          </cell>
        </row>
        <row r="118">
          <cell r="G118">
            <v>190</v>
          </cell>
          <cell r="I118">
            <v>0</v>
          </cell>
          <cell r="J118" t="e">
            <v>#VALUE!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tables/table1.xml><?xml version="1.0" encoding="utf-8"?>
<table xmlns="http://schemas.openxmlformats.org/spreadsheetml/2006/main" id="1" name="List1" displayName="List1" ref="A2:C31" comment="" totalsRowShown="0">
  <autoFilter ref="A2:C31"/>
  <tableColumns count="3">
    <tableColumn id="1" name="Date"/>
    <tableColumn id="2" name="Description"/>
    <tableColumn id="3" name="Initials"/>
  </tableColumns>
  <tableStyleInfo name="TableStyleMedium4" showFirstColumn="0" showLastColumn="0" showRowStripes="1" showColumnStripes="0"/>
</table>
</file>

<file path=xl/tables/table2.xml><?xml version="1.0" encoding="utf-8"?>
<table xmlns="http://schemas.openxmlformats.org/spreadsheetml/2006/main" id="7" name="List18" displayName="List18" ref="A2:B8" comment="" totalsRowShown="0">
  <autoFilter ref="A2:B8"/>
  <tableColumns count="2">
    <tableColumn id="1" name="No."/>
    <tableColumn id="2" name="Description"/>
  </tableColumns>
  <tableStyleInfo name="TableStyleMedium6" showFirstColumn="0" showLastColumn="0" showRowStripes="1" showColumnStripes="0"/>
</table>
</file>

<file path=xl/tables/table3.xml><?xml version="1.0" encoding="utf-8"?>
<table xmlns="http://schemas.openxmlformats.org/spreadsheetml/2006/main" id="8" name="Table8" displayName="Table8" ref="A10:B128" comment="" totalsRowShown="0">
  <autoFilter ref="A10:B128"/>
  <tableColumns count="2">
    <tableColumn id="1" name="Name"/>
    <tableColumn id="2" name="Range"/>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4999699890613556"/>
    <pageSetUpPr fitToPage="1"/>
  </sheetPr>
  <dimension ref="A1:H57"/>
  <sheetViews>
    <sheetView showGridLines="0" zoomScale="90" zoomScaleNormal="90" zoomScalePageLayoutView="0" workbookViewId="0" topLeftCell="A1">
      <selection activeCell="B3" sqref="B3"/>
    </sheetView>
  </sheetViews>
  <sheetFormatPr defaultColWidth="0" defaultRowHeight="0" customHeight="1" zeroHeight="1"/>
  <cols>
    <col min="1" max="1" width="15.7109375" style="156" customWidth="1"/>
    <col min="2" max="2" width="75.00390625" style="156" customWidth="1"/>
    <col min="3" max="3" width="12.28125" style="157" customWidth="1"/>
    <col min="4" max="4" width="75.00390625" style="156" customWidth="1"/>
    <col min="5" max="5" width="4.140625" style="156" customWidth="1"/>
    <col min="6" max="16384" width="10.28125" style="156" hidden="1" customWidth="1"/>
  </cols>
  <sheetData>
    <row r="1" spans="1:3" s="239" customFormat="1" ht="21">
      <c r="A1" s="241" t="s">
        <v>358</v>
      </c>
      <c r="C1" s="240"/>
    </row>
    <row r="2" spans="1:3" s="232" customFormat="1" ht="18">
      <c r="A2" s="238"/>
      <c r="C2" s="237"/>
    </row>
    <row r="3" spans="1:4" s="232" customFormat="1" ht="36">
      <c r="A3" s="234" t="s">
        <v>357</v>
      </c>
      <c r="B3" s="235" t="s">
        <v>724</v>
      </c>
      <c r="C3" s="234" t="s">
        <v>356</v>
      </c>
      <c r="D3" s="236">
        <v>41949</v>
      </c>
    </row>
    <row r="4" spans="1:4" s="232" customFormat="1" ht="36">
      <c r="A4" s="234" t="s">
        <v>355</v>
      </c>
      <c r="B4" s="235" t="s">
        <v>353</v>
      </c>
      <c r="C4" s="234" t="s">
        <v>354</v>
      </c>
      <c r="D4" s="233" t="s">
        <v>353</v>
      </c>
    </row>
    <row r="5" spans="1:4" s="227" customFormat="1" ht="18" customHeight="1">
      <c r="A5" s="231" t="s">
        <v>352</v>
      </c>
      <c r="B5" s="230" t="s">
        <v>351</v>
      </c>
      <c r="C5" s="229" t="s">
        <v>350</v>
      </c>
      <c r="D5" s="228" t="s">
        <v>349</v>
      </c>
    </row>
    <row r="6" spans="1:4" ht="18" customHeight="1">
      <c r="A6" s="452" t="s">
        <v>348</v>
      </c>
      <c r="B6" s="183" t="s">
        <v>347</v>
      </c>
      <c r="C6" s="182" t="s">
        <v>263</v>
      </c>
      <c r="D6" s="181" t="s">
        <v>346</v>
      </c>
    </row>
    <row r="7" spans="1:4" ht="18" customHeight="1">
      <c r="A7" s="455"/>
      <c r="B7" s="226" t="s">
        <v>345</v>
      </c>
      <c r="C7" s="179" t="s">
        <v>263</v>
      </c>
      <c r="D7" s="225" t="s">
        <v>344</v>
      </c>
    </row>
    <row r="8" spans="1:4" ht="36" customHeight="1">
      <c r="A8" s="455"/>
      <c r="B8" s="183" t="s">
        <v>343</v>
      </c>
      <c r="C8" s="182" t="s">
        <v>263</v>
      </c>
      <c r="D8" s="181" t="s">
        <v>342</v>
      </c>
    </row>
    <row r="9" spans="1:4" ht="36" customHeight="1">
      <c r="A9" s="455"/>
      <c r="B9" s="226" t="s">
        <v>341</v>
      </c>
      <c r="C9" s="179" t="s">
        <v>263</v>
      </c>
      <c r="D9" s="225" t="s">
        <v>340</v>
      </c>
    </row>
    <row r="10" spans="1:4" ht="18" customHeight="1">
      <c r="A10" s="455"/>
      <c r="B10" s="183" t="s">
        <v>339</v>
      </c>
      <c r="C10" s="182" t="s">
        <v>263</v>
      </c>
      <c r="D10" s="181" t="s">
        <v>359</v>
      </c>
    </row>
    <row r="11" spans="1:4" ht="39.75" customHeight="1">
      <c r="A11" s="455"/>
      <c r="B11" s="226" t="s">
        <v>338</v>
      </c>
      <c r="C11" s="179" t="s">
        <v>263</v>
      </c>
      <c r="D11" s="225" t="s">
        <v>360</v>
      </c>
    </row>
    <row r="12" spans="1:4" ht="18" customHeight="1">
      <c r="A12" s="455"/>
      <c r="B12" s="183" t="s">
        <v>337</v>
      </c>
      <c r="C12" s="182" t="s">
        <v>263</v>
      </c>
      <c r="D12" s="181" t="s">
        <v>336</v>
      </c>
    </row>
    <row r="13" spans="1:4" ht="36.75" customHeight="1">
      <c r="A13" s="455"/>
      <c r="B13" s="226" t="s">
        <v>335</v>
      </c>
      <c r="C13" s="179" t="s">
        <v>263</v>
      </c>
      <c r="D13" s="225" t="s">
        <v>334</v>
      </c>
    </row>
    <row r="14" spans="1:4" ht="18" customHeight="1">
      <c r="A14" s="455"/>
      <c r="B14" s="183" t="s">
        <v>333</v>
      </c>
      <c r="C14" s="182" t="s">
        <v>263</v>
      </c>
      <c r="D14" s="181" t="s">
        <v>332</v>
      </c>
    </row>
    <row r="15" spans="1:4" ht="18" customHeight="1">
      <c r="A15" s="455"/>
      <c r="B15" s="226" t="s">
        <v>331</v>
      </c>
      <c r="C15" s="179" t="s">
        <v>263</v>
      </c>
      <c r="D15" s="225" t="s">
        <v>330</v>
      </c>
    </row>
    <row r="16" spans="1:4" ht="18" customHeight="1">
      <c r="A16" s="455"/>
      <c r="B16" s="183" t="s">
        <v>329</v>
      </c>
      <c r="C16" s="182" t="s">
        <v>104</v>
      </c>
      <c r="D16" s="181" t="s">
        <v>328</v>
      </c>
    </row>
    <row r="17" spans="1:4" ht="18" customHeight="1">
      <c r="A17" s="455"/>
      <c r="B17" s="226" t="s">
        <v>327</v>
      </c>
      <c r="C17" s="179" t="s">
        <v>263</v>
      </c>
      <c r="D17" s="225" t="s">
        <v>326</v>
      </c>
    </row>
    <row r="18" spans="1:4" ht="18" customHeight="1">
      <c r="A18" s="455"/>
      <c r="B18" s="224" t="s">
        <v>325</v>
      </c>
      <c r="C18" s="223" t="s">
        <v>263</v>
      </c>
      <c r="D18" s="222" t="s">
        <v>324</v>
      </c>
    </row>
    <row r="19" spans="1:4" ht="18" customHeight="1">
      <c r="A19" s="456" t="s">
        <v>323</v>
      </c>
      <c r="B19" s="221" t="s">
        <v>322</v>
      </c>
      <c r="C19" s="220" t="s">
        <v>263</v>
      </c>
      <c r="D19" s="219" t="s">
        <v>540</v>
      </c>
    </row>
    <row r="20" spans="1:4" ht="20.25" customHeight="1">
      <c r="A20" s="456"/>
      <c r="B20" s="218" t="s">
        <v>321</v>
      </c>
      <c r="C20" s="217" t="s">
        <v>263</v>
      </c>
      <c r="D20" s="216" t="s">
        <v>541</v>
      </c>
    </row>
    <row r="21" spans="1:4" ht="18" customHeight="1">
      <c r="A21" s="456"/>
      <c r="B21" s="221" t="s">
        <v>320</v>
      </c>
      <c r="C21" s="220" t="s">
        <v>263</v>
      </c>
      <c r="D21" s="219" t="s">
        <v>542</v>
      </c>
    </row>
    <row r="22" spans="1:4" ht="36" customHeight="1">
      <c r="A22" s="456"/>
      <c r="B22" s="218" t="s">
        <v>319</v>
      </c>
      <c r="C22" s="217" t="s">
        <v>263</v>
      </c>
      <c r="D22" s="216" t="s">
        <v>543</v>
      </c>
    </row>
    <row r="23" spans="1:4" ht="18" customHeight="1">
      <c r="A23" s="457" t="s">
        <v>318</v>
      </c>
      <c r="B23" s="214" t="s">
        <v>317</v>
      </c>
      <c r="C23" s="213" t="s">
        <v>263</v>
      </c>
      <c r="D23" s="212" t="s">
        <v>316</v>
      </c>
    </row>
    <row r="24" spans="1:4" ht="18" customHeight="1">
      <c r="A24" s="457"/>
      <c r="B24" s="172" t="s">
        <v>315</v>
      </c>
      <c r="C24" s="210" t="s">
        <v>263</v>
      </c>
      <c r="D24" s="215" t="s">
        <v>309</v>
      </c>
    </row>
    <row r="25" spans="1:4" ht="36" customHeight="1">
      <c r="A25" s="457"/>
      <c r="B25" s="214" t="s">
        <v>314</v>
      </c>
      <c r="C25" s="213" t="s">
        <v>263</v>
      </c>
      <c r="D25" s="212" t="s">
        <v>544</v>
      </c>
    </row>
    <row r="26" spans="1:4" ht="18" customHeight="1">
      <c r="A26" s="457"/>
      <c r="B26" s="211" t="s">
        <v>313</v>
      </c>
      <c r="C26" s="210" t="s">
        <v>263</v>
      </c>
      <c r="D26" s="209" t="s">
        <v>312</v>
      </c>
    </row>
    <row r="27" spans="1:4" ht="36" customHeight="1">
      <c r="A27" s="453" t="s">
        <v>311</v>
      </c>
      <c r="B27" s="169" t="s">
        <v>310</v>
      </c>
      <c r="C27" s="168" t="s">
        <v>263</v>
      </c>
      <c r="D27" s="208" t="s">
        <v>309</v>
      </c>
    </row>
    <row r="28" spans="1:4" ht="36" customHeight="1">
      <c r="A28" s="453"/>
      <c r="B28" s="167" t="s">
        <v>308</v>
      </c>
      <c r="C28" s="166" t="s">
        <v>263</v>
      </c>
      <c r="D28" s="207" t="s">
        <v>307</v>
      </c>
    </row>
    <row r="29" spans="1:4" ht="36" customHeight="1">
      <c r="A29" s="453"/>
      <c r="B29" s="206" t="s">
        <v>306</v>
      </c>
      <c r="C29" s="205" t="s">
        <v>263</v>
      </c>
      <c r="D29" s="204" t="s">
        <v>305</v>
      </c>
    </row>
    <row r="30" spans="1:4" ht="18" customHeight="1">
      <c r="A30" s="458" t="s">
        <v>304</v>
      </c>
      <c r="B30" s="200" t="s">
        <v>303</v>
      </c>
      <c r="C30" s="199" t="s">
        <v>263</v>
      </c>
      <c r="D30" s="198" t="s">
        <v>361</v>
      </c>
    </row>
    <row r="31" spans="1:4" ht="18" customHeight="1">
      <c r="A31" s="458"/>
      <c r="B31" s="203" t="s">
        <v>302</v>
      </c>
      <c r="C31" s="202" t="s">
        <v>104</v>
      </c>
      <c r="D31" s="201" t="s">
        <v>301</v>
      </c>
    </row>
    <row r="32" spans="1:4" ht="18" customHeight="1">
      <c r="A32" s="458"/>
      <c r="B32" s="200" t="s">
        <v>300</v>
      </c>
      <c r="C32" s="199" t="s">
        <v>263</v>
      </c>
      <c r="D32" s="198" t="s">
        <v>309</v>
      </c>
    </row>
    <row r="33" spans="1:4" ht="18" customHeight="1">
      <c r="A33" s="458"/>
      <c r="B33" s="203" t="s">
        <v>299</v>
      </c>
      <c r="C33" s="202" t="s">
        <v>263</v>
      </c>
      <c r="D33" s="201" t="s">
        <v>298</v>
      </c>
    </row>
    <row r="34" spans="1:4" ht="18" customHeight="1">
      <c r="A34" s="458"/>
      <c r="B34" s="200" t="s">
        <v>297</v>
      </c>
      <c r="C34" s="199" t="s">
        <v>263</v>
      </c>
      <c r="D34" s="198" t="s">
        <v>296</v>
      </c>
    </row>
    <row r="35" spans="1:4" ht="18" customHeight="1">
      <c r="A35" s="458"/>
      <c r="B35" s="197" t="s">
        <v>295</v>
      </c>
      <c r="C35" s="196" t="s">
        <v>263</v>
      </c>
      <c r="D35" s="195" t="s">
        <v>294</v>
      </c>
    </row>
    <row r="36" spans="1:4" ht="18" customHeight="1">
      <c r="A36" s="459" t="s">
        <v>293</v>
      </c>
      <c r="B36" s="194" t="s">
        <v>292</v>
      </c>
      <c r="C36" s="193" t="s">
        <v>263</v>
      </c>
      <c r="D36" s="187" t="s">
        <v>291</v>
      </c>
    </row>
    <row r="37" spans="1:4" ht="35.25" customHeight="1">
      <c r="A37" s="459"/>
      <c r="B37" s="192" t="s">
        <v>290</v>
      </c>
      <c r="C37" s="191" t="s">
        <v>263</v>
      </c>
      <c r="D37" s="190" t="s">
        <v>289</v>
      </c>
    </row>
    <row r="38" spans="1:4" ht="18" customHeight="1">
      <c r="A38" s="459"/>
      <c r="B38" s="189" t="s">
        <v>288</v>
      </c>
      <c r="C38" s="188" t="s">
        <v>263</v>
      </c>
      <c r="D38" s="187" t="s">
        <v>287</v>
      </c>
    </row>
    <row r="39" spans="1:4" ht="54" customHeight="1">
      <c r="A39" s="459"/>
      <c r="B39" s="186" t="s">
        <v>286</v>
      </c>
      <c r="C39" s="185" t="s">
        <v>104</v>
      </c>
      <c r="D39" s="184"/>
    </row>
    <row r="40" spans="1:4" ht="36" customHeight="1">
      <c r="A40" s="451" t="s">
        <v>285</v>
      </c>
      <c r="B40" s="183" t="s">
        <v>284</v>
      </c>
      <c r="C40" s="182" t="s">
        <v>263</v>
      </c>
      <c r="D40" s="181" t="s">
        <v>283</v>
      </c>
    </row>
    <row r="41" spans="1:4" ht="36" customHeight="1">
      <c r="A41" s="452"/>
      <c r="B41" s="180" t="s">
        <v>282</v>
      </c>
      <c r="C41" s="179" t="s">
        <v>263</v>
      </c>
      <c r="D41" s="178" t="s">
        <v>281</v>
      </c>
    </row>
    <row r="42" spans="1:4" ht="54" customHeight="1">
      <c r="A42" s="177" t="s">
        <v>280</v>
      </c>
      <c r="B42" s="176" t="s">
        <v>279</v>
      </c>
      <c r="C42" s="175" t="s">
        <v>263</v>
      </c>
      <c r="D42" s="174" t="s">
        <v>278</v>
      </c>
    </row>
    <row r="43" spans="1:4" ht="63.75" customHeight="1">
      <c r="A43" s="173" t="s">
        <v>277</v>
      </c>
      <c r="B43" s="172" t="s">
        <v>276</v>
      </c>
      <c r="C43" s="171" t="s">
        <v>263</v>
      </c>
      <c r="D43" s="170" t="s">
        <v>545</v>
      </c>
    </row>
    <row r="44" spans="1:4" ht="36" customHeight="1">
      <c r="A44" s="453" t="s">
        <v>275</v>
      </c>
      <c r="B44" s="169" t="s">
        <v>274</v>
      </c>
      <c r="C44" s="168" t="s">
        <v>263</v>
      </c>
      <c r="D44" s="162" t="s">
        <v>273</v>
      </c>
    </row>
    <row r="45" spans="1:4" ht="18" customHeight="1">
      <c r="A45" s="453"/>
      <c r="B45" s="167" t="s">
        <v>272</v>
      </c>
      <c r="C45" s="166" t="s">
        <v>263</v>
      </c>
      <c r="D45" s="165" t="s">
        <v>271</v>
      </c>
    </row>
    <row r="46" spans="1:4" ht="18" customHeight="1">
      <c r="A46" s="453"/>
      <c r="B46" s="164" t="s">
        <v>270</v>
      </c>
      <c r="C46" s="163" t="s">
        <v>263</v>
      </c>
      <c r="D46" s="162" t="s">
        <v>269</v>
      </c>
    </row>
    <row r="47" spans="1:4" ht="18" customHeight="1">
      <c r="A47" s="453"/>
      <c r="B47" s="167" t="s">
        <v>268</v>
      </c>
      <c r="C47" s="166" t="s">
        <v>263</v>
      </c>
      <c r="D47" s="165" t="s">
        <v>267</v>
      </c>
    </row>
    <row r="48" spans="1:4" ht="18" customHeight="1">
      <c r="A48" s="453"/>
      <c r="B48" s="164" t="s">
        <v>266</v>
      </c>
      <c r="C48" s="163" t="s">
        <v>263</v>
      </c>
      <c r="D48" s="162" t="s">
        <v>265</v>
      </c>
    </row>
    <row r="49" spans="1:4" ht="18" customHeight="1">
      <c r="A49" s="453"/>
      <c r="B49" s="161" t="s">
        <v>264</v>
      </c>
      <c r="C49" s="160" t="s">
        <v>263</v>
      </c>
      <c r="D49" s="159" t="s">
        <v>262</v>
      </c>
    </row>
    <row r="50" ht="12.75"/>
    <row r="51" ht="12.75" hidden="1"/>
    <row r="52" ht="12.75" hidden="1"/>
    <row r="53" ht="12.75" hidden="1"/>
    <row r="54" ht="12.75" hidden="1"/>
    <row r="55" ht="12.75" hidden="1"/>
    <row r="56" ht="12.75" hidden="1"/>
    <row r="57" spans="5:8" ht="12.75" hidden="1">
      <c r="E57" s="454"/>
      <c r="F57" s="454"/>
      <c r="G57" s="158"/>
      <c r="H57" s="158"/>
    </row>
  </sheetData>
  <sheetProtection password="83AF" sheet="1" objects="1" scenarios="1"/>
  <mergeCells count="9">
    <mergeCell ref="A40:A41"/>
    <mergeCell ref="A44:A49"/>
    <mergeCell ref="E57:F57"/>
    <mergeCell ref="A6:A18"/>
    <mergeCell ref="A19:A22"/>
    <mergeCell ref="A23:A26"/>
    <mergeCell ref="A27:A29"/>
    <mergeCell ref="A30:A35"/>
    <mergeCell ref="A36:A39"/>
  </mergeCells>
  <dataValidations count="1">
    <dataValidation type="list" allowBlank="1" showInputMessage="1" showErrorMessage="1" sqref="C6:C49">
      <formula1>"Pass,Fail,N/A"</formula1>
    </dataValidation>
  </dataValidations>
  <printOptions horizontalCentered="1"/>
  <pageMargins left="0.5" right="0.5" top="0.75" bottom="0.75" header="0.3" footer="0.3"/>
  <pageSetup fitToHeight="5" fitToWidth="1" horizontalDpi="600" verticalDpi="600" orientation="landscape" scale="73" r:id="rId1"/>
  <headerFooter>
    <oddHeader>&amp;L&amp;"Trebuchet MS,Regular"Weights and Measures Program
Metrology Laboratory&amp;R&amp;"Trebuchet MS,Regular"WAQCF-018, Rev. 04, 8/9/2010</oddHeader>
    <oddFooter>&amp;R&amp;"Trebuchet MS,Regular"Page &amp;P of &amp;N</oddFooter>
  </headerFooter>
  <rowBreaks count="2" manualBreakCount="2">
    <brk id="26" max="3" man="1"/>
    <brk id="43" max="3" man="1"/>
  </rowBreaks>
</worksheet>
</file>

<file path=xl/worksheets/sheet10.xml><?xml version="1.0" encoding="utf-8"?>
<worksheet xmlns="http://schemas.openxmlformats.org/spreadsheetml/2006/main" xmlns:r="http://schemas.openxmlformats.org/officeDocument/2006/relationships">
  <sheetPr>
    <tabColor indexed="18"/>
  </sheetPr>
  <dimension ref="A1:L83"/>
  <sheetViews>
    <sheetView showGridLines="0" zoomScalePageLayoutView="0" workbookViewId="0" topLeftCell="A1">
      <selection activeCell="A1" sqref="A1"/>
    </sheetView>
  </sheetViews>
  <sheetFormatPr defaultColWidth="0" defaultRowHeight="14.25" customHeight="1" zeroHeight="1"/>
  <cols>
    <col min="1" max="10" width="12.7109375" style="129" customWidth="1"/>
    <col min="11" max="11" width="2.7109375" style="129" customWidth="1"/>
    <col min="12" max="12" width="19.00390625" style="129" hidden="1" customWidth="1"/>
    <col min="13" max="16384" width="0" style="129" hidden="1" customWidth="1"/>
  </cols>
  <sheetData>
    <row r="1" spans="1:10" ht="19.5" thickBot="1">
      <c r="A1" s="36" t="s">
        <v>45</v>
      </c>
      <c r="B1" s="124"/>
      <c r="C1" s="680"/>
      <c r="D1" s="680"/>
      <c r="E1" s="125"/>
      <c r="F1" s="125"/>
      <c r="G1" s="126"/>
      <c r="H1" s="127"/>
      <c r="I1" s="128"/>
      <c r="J1" s="37">
        <f>IF(RptNo="","","Report Number: "&amp;RptNo)</f>
      </c>
    </row>
    <row r="2" spans="2:12" ht="12" customHeight="1">
      <c r="B2" s="130"/>
      <c r="C2" s="130"/>
      <c r="D2" s="130"/>
      <c r="E2" s="130"/>
      <c r="F2" s="130"/>
      <c r="G2" s="130"/>
      <c r="H2" s="130"/>
      <c r="I2" s="130"/>
      <c r="J2" s="130"/>
      <c r="L2" s="131"/>
    </row>
    <row r="3" spans="1:10" ht="18.75" thickBot="1">
      <c r="A3" s="132" t="s">
        <v>20</v>
      </c>
      <c r="B3" s="133"/>
      <c r="C3" s="133"/>
      <c r="D3" s="133"/>
      <c r="E3" s="126"/>
      <c r="F3" s="126"/>
      <c r="G3" s="126"/>
      <c r="H3" s="126"/>
      <c r="I3" s="126"/>
      <c r="J3" s="133"/>
    </row>
    <row r="4" spans="1:10" ht="16.5">
      <c r="A4" s="148" t="s">
        <v>447</v>
      </c>
      <c r="B4" s="135"/>
      <c r="C4" s="135"/>
      <c r="D4" s="135"/>
      <c r="E4" s="136"/>
      <c r="F4" s="136"/>
      <c r="G4" s="136"/>
      <c r="H4" s="136"/>
      <c r="I4" s="136"/>
      <c r="J4" s="135"/>
    </row>
    <row r="5" spans="2:12" ht="12" customHeight="1">
      <c r="B5" s="130"/>
      <c r="C5" s="130"/>
      <c r="D5" s="130"/>
      <c r="E5" s="130"/>
      <c r="F5" s="130"/>
      <c r="G5" s="130"/>
      <c r="H5" s="130"/>
      <c r="I5" s="130"/>
      <c r="J5" s="130"/>
      <c r="L5" s="131"/>
    </row>
    <row r="6" spans="1:10" ht="18.75" thickBot="1">
      <c r="A6" s="132" t="s">
        <v>21</v>
      </c>
      <c r="B6" s="126"/>
      <c r="C6" s="133"/>
      <c r="D6" s="126"/>
      <c r="E6" s="126"/>
      <c r="F6" s="126"/>
      <c r="G6" s="126"/>
      <c r="H6" s="126"/>
      <c r="I6" s="126"/>
      <c r="J6" s="133"/>
    </row>
    <row r="7" spans="1:10" ht="16.5">
      <c r="A7" s="148" t="s">
        <v>44</v>
      </c>
      <c r="B7" s="137"/>
      <c r="C7" s="136"/>
      <c r="D7" s="136"/>
      <c r="E7" s="136"/>
      <c r="F7" s="136"/>
      <c r="G7" s="136"/>
      <c r="H7" s="136"/>
      <c r="I7" s="136"/>
      <c r="J7" s="137"/>
    </row>
    <row r="8" spans="1:10" ht="60" customHeight="1">
      <c r="A8" s="138"/>
      <c r="B8" s="137"/>
      <c r="C8" s="136"/>
      <c r="D8" s="136"/>
      <c r="E8" s="136"/>
      <c r="F8" s="136"/>
      <c r="G8" s="136"/>
      <c r="H8" s="136"/>
      <c r="I8" s="136"/>
      <c r="J8" s="137"/>
    </row>
    <row r="9" spans="1:10" ht="16.5">
      <c r="A9" s="384" t="s">
        <v>22</v>
      </c>
      <c r="B9" s="137"/>
      <c r="C9" s="137"/>
      <c r="D9" s="136"/>
      <c r="E9" s="136"/>
      <c r="F9" s="136"/>
      <c r="G9" s="136"/>
      <c r="H9" s="136"/>
      <c r="I9" s="136"/>
      <c r="J9" s="137"/>
    </row>
    <row r="10" spans="1:10" ht="16.5">
      <c r="A10" s="385" t="s">
        <v>10</v>
      </c>
      <c r="B10" s="148" t="s">
        <v>215</v>
      </c>
      <c r="C10" s="134"/>
      <c r="D10" s="134"/>
      <c r="E10" s="134"/>
      <c r="F10" s="134"/>
      <c r="G10" s="134"/>
      <c r="H10" s="134"/>
      <c r="I10" s="134"/>
      <c r="J10" s="137"/>
    </row>
    <row r="11" spans="1:10" ht="16.5">
      <c r="A11" s="385" t="s">
        <v>216</v>
      </c>
      <c r="B11" s="148" t="s">
        <v>217</v>
      </c>
      <c r="C11" s="134"/>
      <c r="D11" s="134"/>
      <c r="E11" s="134"/>
      <c r="F11" s="134"/>
      <c r="G11" s="134"/>
      <c r="H11" s="134"/>
      <c r="I11" s="134"/>
      <c r="J11" s="137"/>
    </row>
    <row r="12" spans="1:10" ht="16.5">
      <c r="A12" s="385" t="s">
        <v>218</v>
      </c>
      <c r="B12" s="148" t="s">
        <v>219</v>
      </c>
      <c r="C12" s="134"/>
      <c r="D12" s="134"/>
      <c r="E12" s="134"/>
      <c r="F12" s="134"/>
      <c r="G12" s="134"/>
      <c r="H12" s="134"/>
      <c r="I12" s="134"/>
      <c r="J12" s="137"/>
    </row>
    <row r="13" spans="1:10" ht="16.5">
      <c r="A13" s="385" t="s">
        <v>11</v>
      </c>
      <c r="B13" s="148" t="s">
        <v>220</v>
      </c>
      <c r="C13" s="134"/>
      <c r="D13" s="134"/>
      <c r="E13" s="134"/>
      <c r="F13" s="134"/>
      <c r="G13" s="134"/>
      <c r="H13" s="134"/>
      <c r="I13" s="134"/>
      <c r="J13" s="137"/>
    </row>
    <row r="14" spans="1:10" ht="16.5">
      <c r="A14" s="385" t="s">
        <v>221</v>
      </c>
      <c r="B14" s="148" t="s">
        <v>222</v>
      </c>
      <c r="C14" s="134"/>
      <c r="D14" s="134"/>
      <c r="E14" s="134"/>
      <c r="F14" s="134"/>
      <c r="G14" s="134"/>
      <c r="H14" s="134"/>
      <c r="I14" s="134"/>
      <c r="J14" s="137"/>
    </row>
    <row r="15" spans="1:10" ht="16.5">
      <c r="A15" s="385" t="s">
        <v>223</v>
      </c>
      <c r="B15" s="148" t="s">
        <v>224</v>
      </c>
      <c r="C15" s="134"/>
      <c r="D15" s="134"/>
      <c r="E15" s="134"/>
      <c r="F15" s="134"/>
      <c r="G15" s="134"/>
      <c r="H15" s="134"/>
      <c r="I15" s="134"/>
      <c r="J15" s="137"/>
    </row>
    <row r="16" spans="1:10" ht="16.5">
      <c r="A16" s="385" t="s">
        <v>225</v>
      </c>
      <c r="B16" s="148" t="s">
        <v>226</v>
      </c>
      <c r="C16" s="134"/>
      <c r="D16" s="134"/>
      <c r="E16" s="134"/>
      <c r="F16" s="134"/>
      <c r="G16" s="134"/>
      <c r="H16" s="134"/>
      <c r="I16" s="134"/>
      <c r="J16" s="137"/>
    </row>
    <row r="17" spans="1:10" ht="17.25">
      <c r="A17" s="385" t="s">
        <v>624</v>
      </c>
      <c r="B17" s="148" t="s">
        <v>227</v>
      </c>
      <c r="C17" s="134"/>
      <c r="D17" s="134"/>
      <c r="E17" s="134"/>
      <c r="F17" s="134"/>
      <c r="G17" s="134"/>
      <c r="H17" s="134"/>
      <c r="I17" s="134"/>
      <c r="J17" s="137"/>
    </row>
    <row r="18" spans="1:10" ht="16.5">
      <c r="A18" s="385" t="s">
        <v>228</v>
      </c>
      <c r="B18" s="148" t="s">
        <v>229</v>
      </c>
      <c r="C18" s="134"/>
      <c r="D18" s="134"/>
      <c r="E18" s="134"/>
      <c r="F18" s="134"/>
      <c r="G18" s="134"/>
      <c r="H18" s="134"/>
      <c r="I18" s="134"/>
      <c r="J18" s="137"/>
    </row>
    <row r="19" spans="1:10" ht="16.5">
      <c r="A19" s="385" t="s">
        <v>230</v>
      </c>
      <c r="B19" s="148" t="s">
        <v>231</v>
      </c>
      <c r="C19" s="134"/>
      <c r="D19" s="134"/>
      <c r="E19" s="134"/>
      <c r="F19" s="134"/>
      <c r="G19" s="134"/>
      <c r="H19" s="134"/>
      <c r="I19" s="134"/>
      <c r="J19" s="137"/>
    </row>
    <row r="20" spans="1:10" ht="15">
      <c r="A20" s="139"/>
      <c r="B20" s="137"/>
      <c r="C20" s="137"/>
      <c r="D20" s="137"/>
      <c r="E20" s="136"/>
      <c r="F20" s="136"/>
      <c r="G20" s="136"/>
      <c r="H20" s="136"/>
      <c r="I20" s="136"/>
      <c r="J20" s="137"/>
    </row>
    <row r="21" spans="1:10" ht="16.5">
      <c r="A21" s="148" t="s">
        <v>566</v>
      </c>
      <c r="B21" s="137"/>
      <c r="C21" s="137"/>
      <c r="D21" s="137"/>
      <c r="E21" s="136"/>
      <c r="F21" s="136"/>
      <c r="G21" s="136"/>
      <c r="H21" s="136"/>
      <c r="I21" s="136"/>
      <c r="J21" s="137"/>
    </row>
    <row r="22" spans="1:10" ht="60" customHeight="1">
      <c r="A22" s="136"/>
      <c r="B22" s="137"/>
      <c r="C22" s="137"/>
      <c r="D22" s="137"/>
      <c r="E22" s="136"/>
      <c r="F22" s="136"/>
      <c r="G22" s="136"/>
      <c r="H22" s="136"/>
      <c r="I22" s="136"/>
      <c r="J22" s="137"/>
    </row>
    <row r="23" spans="1:10" ht="16.5">
      <c r="A23" s="384" t="s">
        <v>22</v>
      </c>
      <c r="B23" s="137"/>
      <c r="C23" s="137"/>
      <c r="D23" s="137"/>
      <c r="E23" s="136"/>
      <c r="F23" s="136"/>
      <c r="G23" s="136"/>
      <c r="H23" s="136"/>
      <c r="I23" s="136"/>
      <c r="J23" s="137"/>
    </row>
    <row r="24" spans="1:10" ht="19.5">
      <c r="A24" s="386" t="s">
        <v>625</v>
      </c>
      <c r="B24" s="148" t="s">
        <v>65</v>
      </c>
      <c r="C24" s="137"/>
      <c r="D24" s="137"/>
      <c r="E24" s="136"/>
      <c r="F24" s="136"/>
      <c r="G24" s="136"/>
      <c r="H24" s="136"/>
      <c r="I24" s="136"/>
      <c r="J24" s="137"/>
    </row>
    <row r="25" spans="1:10" ht="19.5">
      <c r="A25" s="386" t="s">
        <v>626</v>
      </c>
      <c r="B25" s="148" t="s">
        <v>390</v>
      </c>
      <c r="C25" s="137"/>
      <c r="D25" s="137"/>
      <c r="E25" s="136"/>
      <c r="F25" s="136"/>
      <c r="G25" s="136"/>
      <c r="H25" s="136"/>
      <c r="I25" s="136"/>
      <c r="J25" s="137"/>
    </row>
    <row r="26" spans="1:10" ht="19.5">
      <c r="A26" s="386" t="s">
        <v>627</v>
      </c>
      <c r="B26" s="148" t="s">
        <v>66</v>
      </c>
      <c r="C26" s="137"/>
      <c r="D26" s="137"/>
      <c r="E26" s="136"/>
      <c r="F26" s="136"/>
      <c r="G26" s="136"/>
      <c r="H26" s="136"/>
      <c r="I26" s="136"/>
      <c r="J26" s="137"/>
    </row>
    <row r="27" spans="1:10" ht="19.5">
      <c r="A27" s="386" t="s">
        <v>628</v>
      </c>
      <c r="B27" s="148" t="s">
        <v>67</v>
      </c>
      <c r="C27" s="137"/>
      <c r="D27" s="137"/>
      <c r="E27" s="136"/>
      <c r="F27" s="136"/>
      <c r="G27" s="136"/>
      <c r="H27" s="136"/>
      <c r="I27" s="136"/>
      <c r="J27" s="137"/>
    </row>
    <row r="28" spans="1:10" ht="19.5">
      <c r="A28" s="386" t="s">
        <v>629</v>
      </c>
      <c r="B28" s="148" t="s">
        <v>68</v>
      </c>
      <c r="C28" s="137"/>
      <c r="D28" s="137"/>
      <c r="E28" s="136"/>
      <c r="F28" s="136"/>
      <c r="G28" s="136"/>
      <c r="H28" s="136"/>
      <c r="I28" s="136"/>
      <c r="J28" s="137"/>
    </row>
    <row r="29" spans="2:12" ht="12" customHeight="1">
      <c r="B29" s="130"/>
      <c r="C29" s="130"/>
      <c r="D29" s="130"/>
      <c r="E29" s="130"/>
      <c r="F29" s="130"/>
      <c r="G29" s="130"/>
      <c r="H29" s="130"/>
      <c r="I29" s="130"/>
      <c r="J29" s="130"/>
      <c r="L29" s="131"/>
    </row>
    <row r="30" spans="1:10" ht="18.75" thickBot="1">
      <c r="A30" s="132" t="s">
        <v>232</v>
      </c>
      <c r="B30" s="126"/>
      <c r="C30" s="133"/>
      <c r="D30" s="133"/>
      <c r="E30" s="126"/>
      <c r="F30" s="133"/>
      <c r="G30" s="133"/>
      <c r="H30" s="133"/>
      <c r="I30" s="126"/>
      <c r="J30" s="133"/>
    </row>
    <row r="31" spans="1:10" ht="15" customHeight="1">
      <c r="A31" s="345" t="s">
        <v>233</v>
      </c>
      <c r="B31" s="681" t="s">
        <v>14</v>
      </c>
      <c r="C31" s="682"/>
      <c r="D31" s="682"/>
      <c r="E31" s="682"/>
      <c r="F31" s="677" t="s">
        <v>234</v>
      </c>
      <c r="G31" s="677"/>
      <c r="H31" s="677"/>
      <c r="I31" s="677"/>
      <c r="J31" s="677"/>
    </row>
    <row r="32" spans="1:10" ht="84.75" customHeight="1">
      <c r="A32" s="413" t="s">
        <v>704</v>
      </c>
      <c r="B32" s="683" t="s">
        <v>382</v>
      </c>
      <c r="C32" s="678"/>
      <c r="D32" s="678"/>
      <c r="E32" s="678"/>
      <c r="F32" s="678" t="s">
        <v>617</v>
      </c>
      <c r="G32" s="678"/>
      <c r="H32" s="678"/>
      <c r="I32" s="678"/>
      <c r="J32" s="678"/>
    </row>
    <row r="33" spans="1:10" ht="37.5" customHeight="1">
      <c r="A33" s="442" t="s">
        <v>705</v>
      </c>
      <c r="B33" s="684" t="s">
        <v>618</v>
      </c>
      <c r="C33" s="679"/>
      <c r="D33" s="679"/>
      <c r="E33" s="679"/>
      <c r="F33" s="679" t="s">
        <v>381</v>
      </c>
      <c r="G33" s="679"/>
      <c r="H33" s="679"/>
      <c r="I33" s="679"/>
      <c r="J33" s="679"/>
    </row>
    <row r="34" spans="1:10" ht="52.5" customHeight="1">
      <c r="A34" s="413" t="s">
        <v>706</v>
      </c>
      <c r="B34" s="683" t="s">
        <v>235</v>
      </c>
      <c r="C34" s="678"/>
      <c r="D34" s="678"/>
      <c r="E34" s="678"/>
      <c r="F34" s="678" t="s">
        <v>383</v>
      </c>
      <c r="G34" s="678"/>
      <c r="H34" s="678"/>
      <c r="I34" s="678"/>
      <c r="J34" s="678"/>
    </row>
    <row r="35" spans="2:12" ht="12" customHeight="1">
      <c r="B35" s="130"/>
      <c r="C35" s="130"/>
      <c r="D35" s="130"/>
      <c r="E35" s="130"/>
      <c r="F35" s="130"/>
      <c r="G35" s="130"/>
      <c r="H35" s="130"/>
      <c r="I35" s="130"/>
      <c r="J35" s="130"/>
      <c r="L35" s="131"/>
    </row>
    <row r="36" spans="1:10" ht="18.75" thickBot="1">
      <c r="A36" s="140" t="s">
        <v>446</v>
      </c>
      <c r="B36" s="141"/>
      <c r="C36" s="141"/>
      <c r="D36" s="141"/>
      <c r="E36" s="141"/>
      <c r="F36" s="141"/>
      <c r="G36" s="141"/>
      <c r="H36" s="141"/>
      <c r="I36" s="142"/>
      <c r="J36" s="142"/>
    </row>
    <row r="37" spans="1:12" ht="49.5">
      <c r="A37" s="685" t="s">
        <v>238</v>
      </c>
      <c r="B37" s="686"/>
      <c r="C37" s="448" t="s">
        <v>239</v>
      </c>
      <c r="D37" s="346" t="s">
        <v>619</v>
      </c>
      <c r="E37" s="347" t="s">
        <v>15</v>
      </c>
      <c r="F37" s="348" t="s">
        <v>23</v>
      </c>
      <c r="G37" s="349" t="s">
        <v>240</v>
      </c>
      <c r="H37" s="350" t="s">
        <v>620</v>
      </c>
      <c r="I37" s="370" t="s">
        <v>621</v>
      </c>
      <c r="J37" s="371" t="s">
        <v>377</v>
      </c>
      <c r="L37" s="131"/>
    </row>
    <row r="38" spans="1:12" ht="16.5">
      <c r="A38" s="673" t="s">
        <v>241</v>
      </c>
      <c r="B38" s="674"/>
      <c r="C38" s="449" t="s">
        <v>704</v>
      </c>
      <c r="D38" s="387">
        <f>IF(sp="",0,IF(BalUnit="lb",MAX(sp,Resolution*453.59237/SQRT(3)),MAX(sp,Resolution/SQRT(3))))</f>
        <v>0</v>
      </c>
      <c r="E38" s="388" t="s">
        <v>17</v>
      </c>
      <c r="F38" s="389" t="s">
        <v>75</v>
      </c>
      <c r="G38" s="390">
        <v>1</v>
      </c>
      <c r="H38" s="414">
        <f>D38/G38</f>
        <v>0</v>
      </c>
      <c r="I38" s="365">
        <f>IF($I$42="","",H38^2/$I$42^2)</f>
      </c>
      <c r="J38" s="373">
        <f>IF(H38=0,1,sp_df)</f>
        <v>1</v>
      </c>
      <c r="L38" s="131"/>
    </row>
    <row r="39" spans="1:12" ht="16.5">
      <c r="A39" s="675" t="s">
        <v>242</v>
      </c>
      <c r="B39" s="676"/>
      <c r="C39" s="450" t="s">
        <v>705</v>
      </c>
      <c r="D39" s="391">
        <f>IF(Us="",0,Us)</f>
        <v>0</v>
      </c>
      <c r="E39" s="392" t="s">
        <v>16</v>
      </c>
      <c r="F39" s="393" t="s">
        <v>75</v>
      </c>
      <c r="G39" s="394">
        <v>1</v>
      </c>
      <c r="H39" s="414">
        <f>D39/G39</f>
        <v>0</v>
      </c>
      <c r="I39" s="372">
        <f>IF($I$42="","",H39^2/$I$42^2)</f>
      </c>
      <c r="J39" s="373">
        <f>IF(H39=0,1,S_df)</f>
        <v>1</v>
      </c>
      <c r="L39" s="131"/>
    </row>
    <row r="40" spans="1:12" ht="16.5">
      <c r="A40" s="675" t="s">
        <v>242</v>
      </c>
      <c r="B40" s="676"/>
      <c r="C40" s="450" t="s">
        <v>707</v>
      </c>
      <c r="D40" s="391">
        <f>IF(Usw="",0,Usw)</f>
        <v>0</v>
      </c>
      <c r="E40" s="392" t="s">
        <v>16</v>
      </c>
      <c r="F40" s="393" t="s">
        <v>75</v>
      </c>
      <c r="G40" s="394">
        <v>1</v>
      </c>
      <c r="H40" s="414">
        <f>D40/G40</f>
        <v>0</v>
      </c>
      <c r="I40" s="372">
        <f>IF($I$42="","",H40^2/$I$42^2)</f>
      </c>
      <c r="J40" s="373">
        <f>IF(H40=0,1,sw_df)</f>
        <v>1</v>
      </c>
      <c r="L40" s="131"/>
    </row>
    <row r="41" spans="1:12" ht="16.5">
      <c r="A41" s="675" t="s">
        <v>243</v>
      </c>
      <c r="B41" s="676"/>
      <c r="C41" s="450" t="s">
        <v>706</v>
      </c>
      <c r="D41" s="391">
        <f>IF(Nx="",0,ABS(Nx*453.59237*(CIPM_Pa-0.0012)*(1/Px-1/Ps)))</f>
        <v>0</v>
      </c>
      <c r="E41" s="392" t="s">
        <v>16</v>
      </c>
      <c r="F41" s="393" t="s">
        <v>236</v>
      </c>
      <c r="G41" s="394">
        <f>SQRT(3)</f>
        <v>1.7320508075688772</v>
      </c>
      <c r="H41" s="414">
        <f>D41/G41</f>
        <v>0</v>
      </c>
      <c r="I41" s="372">
        <f>IF($I$42="","",H41^2/$I$42^2)</f>
      </c>
      <c r="J41" s="373">
        <f>IF(H41=0,1,10000)</f>
        <v>1</v>
      </c>
      <c r="L41" s="131"/>
    </row>
    <row r="42" spans="1:12" ht="19.5">
      <c r="A42" s="323"/>
      <c r="B42" s="324"/>
      <c r="C42" s="324"/>
      <c r="D42" s="324"/>
      <c r="E42" s="324"/>
      <c r="F42" s="324"/>
      <c r="G42" s="324"/>
      <c r="H42" s="343" t="s">
        <v>611</v>
      </c>
      <c r="I42" s="395">
        <f>IF(SUM(H38:H41)=0,"",SQRT(SUMSQ(H38:H41)))</f>
      </c>
      <c r="J42" s="396" t="s">
        <v>18</v>
      </c>
      <c r="L42" s="143"/>
    </row>
    <row r="43" spans="1:12" ht="19.5">
      <c r="A43" s="323"/>
      <c r="B43" s="324"/>
      <c r="C43" s="324"/>
      <c r="D43" s="324"/>
      <c r="E43" s="324"/>
      <c r="F43" s="324"/>
      <c r="G43" s="324"/>
      <c r="H43" s="343" t="s">
        <v>612</v>
      </c>
      <c r="I43" s="395">
        <f>IF(MAX(J38:J41)=1,"",ROUNDDOWN(I42^4/((H38^4/J38)+(H39^4/J39)+(H40^4/J40)+(H41^4/J41)),0))</f>
      </c>
      <c r="J43" s="396"/>
      <c r="L43" s="143"/>
    </row>
    <row r="44" spans="1:12" ht="16.5">
      <c r="A44" s="323"/>
      <c r="B44" s="324"/>
      <c r="C44" s="324"/>
      <c r="D44" s="324"/>
      <c r="E44" s="324"/>
      <c r="F44" s="324"/>
      <c r="G44" s="324"/>
      <c r="H44" s="343" t="s">
        <v>384</v>
      </c>
      <c r="I44" s="395">
        <f>IF(Veff="","",ROUND(TINV(0.0455,Veff),3))</f>
      </c>
      <c r="J44" s="396"/>
      <c r="L44" s="143"/>
    </row>
    <row r="45" spans="1:12" ht="19.5">
      <c r="A45" s="323"/>
      <c r="B45" s="324"/>
      <c r="C45" s="324"/>
      <c r="D45" s="324"/>
      <c r="E45" s="324"/>
      <c r="F45" s="324"/>
      <c r="G45" s="324"/>
      <c r="H45" s="343" t="s">
        <v>613</v>
      </c>
      <c r="I45" s="395">
        <f>IF(k="","",k*I42)</f>
      </c>
      <c r="J45" s="396" t="s">
        <v>18</v>
      </c>
      <c r="L45" s="131"/>
    </row>
    <row r="46" spans="1:12" ht="19.5">
      <c r="A46" s="325"/>
      <c r="B46" s="326"/>
      <c r="C46" s="326"/>
      <c r="D46" s="326"/>
      <c r="E46" s="326"/>
      <c r="F46" s="326"/>
      <c r="G46" s="326"/>
      <c r="H46" s="344" t="s">
        <v>630</v>
      </c>
      <c r="I46" s="397">
        <f>IF(Best_df="","",Best_df)</f>
      </c>
      <c r="J46" s="398"/>
      <c r="L46" s="131"/>
    </row>
    <row r="47" spans="1:12" ht="16.5">
      <c r="A47" s="325"/>
      <c r="B47" s="326"/>
      <c r="C47" s="326"/>
      <c r="D47" s="326"/>
      <c r="E47" s="326"/>
      <c r="F47" s="326"/>
      <c r="G47" s="326"/>
      <c r="H47" s="344" t="s">
        <v>385</v>
      </c>
      <c r="I47" s="397">
        <f>IF(Best_k="","",Best_k)</f>
      </c>
      <c r="J47" s="398"/>
      <c r="L47" s="131"/>
    </row>
    <row r="48" spans="1:12" ht="16.5">
      <c r="A48" s="325"/>
      <c r="B48" s="326"/>
      <c r="C48" s="326"/>
      <c r="D48" s="326"/>
      <c r="E48" s="326"/>
      <c r="F48" s="326"/>
      <c r="G48" s="326"/>
      <c r="H48" s="344" t="s">
        <v>614</v>
      </c>
      <c r="I48" s="397">
        <f>IF(Best_U="","",Best_U)</f>
      </c>
      <c r="J48" s="398" t="s">
        <v>18</v>
      </c>
      <c r="L48" s="131"/>
    </row>
    <row r="49" spans="1:12" ht="19.5">
      <c r="A49" s="443"/>
      <c r="B49" s="444"/>
      <c r="C49" s="444"/>
      <c r="D49" s="444"/>
      <c r="E49" s="444"/>
      <c r="F49" s="444"/>
      <c r="G49" s="444"/>
      <c r="H49" s="445" t="s">
        <v>631</v>
      </c>
      <c r="I49" s="446">
        <f>IF(Best_U="",Veff,IF(MeasuredU&gt;Best_U,Veff,Best_df))</f>
      </c>
      <c r="J49" s="447"/>
      <c r="L49" s="131"/>
    </row>
    <row r="50" spans="1:12" ht="16.5">
      <c r="A50" s="443"/>
      <c r="B50" s="444"/>
      <c r="C50" s="444"/>
      <c r="D50" s="444"/>
      <c r="E50" s="444"/>
      <c r="F50" s="444"/>
      <c r="G50" s="444"/>
      <c r="H50" s="445" t="s">
        <v>615</v>
      </c>
      <c r="I50" s="446">
        <f>IF(Best_U="",k,IF(MeasuredU&gt;Best_U,k,Best_k))</f>
      </c>
      <c r="J50" s="447"/>
      <c r="L50" s="131"/>
    </row>
    <row r="51" spans="1:12" ht="19.5">
      <c r="A51" s="443"/>
      <c r="B51" s="444"/>
      <c r="C51" s="444"/>
      <c r="D51" s="444"/>
      <c r="E51" s="444"/>
      <c r="F51" s="444"/>
      <c r="G51" s="444"/>
      <c r="H51" s="445" t="s">
        <v>616</v>
      </c>
      <c r="I51" s="446">
        <f>IF(Best_U="",MeasuredU,IF(MeasuredU&gt;Best_U,MeasuredU,I48))</f>
      </c>
      <c r="J51" s="447" t="s">
        <v>18</v>
      </c>
      <c r="L51" s="131"/>
    </row>
    <row r="52" ht="12.75"/>
    <row r="53" spans="2:12" ht="12" customHeight="1">
      <c r="B53" s="130"/>
      <c r="C53" s="130"/>
      <c r="D53" s="130"/>
      <c r="E53" s="130"/>
      <c r="F53" s="130"/>
      <c r="G53" s="130"/>
      <c r="H53" s="130"/>
      <c r="I53" s="130"/>
      <c r="J53" s="130"/>
      <c r="L53" s="131"/>
    </row>
    <row r="54" spans="1:12" ht="15">
      <c r="A54" s="144"/>
      <c r="B54" s="144"/>
      <c r="C54" s="144"/>
      <c r="D54" s="144"/>
      <c r="E54" s="144"/>
      <c r="F54" s="144"/>
      <c r="G54" s="144"/>
      <c r="H54" s="144"/>
      <c r="I54" s="144"/>
      <c r="J54" s="131"/>
      <c r="K54" s="131"/>
      <c r="L54" s="131"/>
    </row>
    <row r="55" spans="1:12" ht="15">
      <c r="A55" s="144"/>
      <c r="B55" s="144"/>
      <c r="C55" s="144"/>
      <c r="D55" s="144"/>
      <c r="E55" s="144"/>
      <c r="F55" s="144"/>
      <c r="G55" s="144"/>
      <c r="H55" s="144"/>
      <c r="I55" s="144"/>
      <c r="J55" s="131"/>
      <c r="K55" s="131"/>
      <c r="L55" s="131"/>
    </row>
    <row r="56" spans="1:12" ht="15">
      <c r="A56" s="144"/>
      <c r="B56" s="144"/>
      <c r="C56" s="144"/>
      <c r="D56" s="144"/>
      <c r="E56" s="144"/>
      <c r="F56" s="144"/>
      <c r="G56" s="144"/>
      <c r="H56" s="144"/>
      <c r="I56" s="144"/>
      <c r="J56" s="131"/>
      <c r="K56" s="131"/>
      <c r="L56" s="131"/>
    </row>
    <row r="57" spans="1:12" ht="15">
      <c r="A57" s="144"/>
      <c r="B57" s="144"/>
      <c r="C57" s="144"/>
      <c r="D57" s="144"/>
      <c r="E57" s="144"/>
      <c r="F57" s="144"/>
      <c r="G57" s="144"/>
      <c r="H57" s="144"/>
      <c r="I57" s="144"/>
      <c r="J57" s="131"/>
      <c r="K57" s="131"/>
      <c r="L57" s="131"/>
    </row>
    <row r="58" spans="1:12" ht="15">
      <c r="A58" s="144"/>
      <c r="B58" s="144"/>
      <c r="C58" s="144"/>
      <c r="D58" s="144"/>
      <c r="E58" s="144"/>
      <c r="F58" s="144"/>
      <c r="G58" s="144"/>
      <c r="H58" s="144"/>
      <c r="I58" s="144"/>
      <c r="J58" s="131"/>
      <c r="K58" s="131"/>
      <c r="L58" s="131"/>
    </row>
    <row r="59" spans="1:12" ht="15">
      <c r="A59" s="144"/>
      <c r="B59" s="144"/>
      <c r="C59" s="144"/>
      <c r="D59" s="144"/>
      <c r="E59" s="144"/>
      <c r="F59" s="144"/>
      <c r="G59" s="144"/>
      <c r="H59" s="144"/>
      <c r="I59" s="144"/>
      <c r="J59" s="131"/>
      <c r="K59" s="131"/>
      <c r="L59" s="131"/>
    </row>
    <row r="60" spans="1:12" ht="15">
      <c r="A60" s="144"/>
      <c r="B60" s="144"/>
      <c r="C60" s="144"/>
      <c r="D60" s="144"/>
      <c r="E60" s="144"/>
      <c r="F60" s="144"/>
      <c r="G60" s="144"/>
      <c r="H60" s="144"/>
      <c r="I60" s="144"/>
      <c r="J60" s="131"/>
      <c r="K60" s="131"/>
      <c r="L60" s="131"/>
    </row>
    <row r="61" spans="1:12" ht="15">
      <c r="A61" s="144"/>
      <c r="B61" s="144"/>
      <c r="C61" s="144"/>
      <c r="D61" s="144"/>
      <c r="E61" s="144"/>
      <c r="F61" s="144"/>
      <c r="G61" s="144"/>
      <c r="H61" s="144"/>
      <c r="I61" s="144"/>
      <c r="J61" s="131"/>
      <c r="K61" s="131"/>
      <c r="L61" s="131"/>
    </row>
    <row r="62" spans="1:12" ht="15">
      <c r="A62" s="144"/>
      <c r="B62" s="144"/>
      <c r="C62" s="144"/>
      <c r="D62" s="144"/>
      <c r="E62" s="144"/>
      <c r="F62" s="144"/>
      <c r="G62" s="144"/>
      <c r="H62" s="144"/>
      <c r="I62" s="144"/>
      <c r="J62" s="131"/>
      <c r="K62" s="131"/>
      <c r="L62" s="131"/>
    </row>
    <row r="63" spans="1:12" ht="15">
      <c r="A63" s="144"/>
      <c r="B63" s="144"/>
      <c r="C63" s="144"/>
      <c r="D63" s="144"/>
      <c r="E63" s="144"/>
      <c r="F63" s="144"/>
      <c r="G63" s="144"/>
      <c r="H63" s="144"/>
      <c r="I63" s="144"/>
      <c r="J63" s="131"/>
      <c r="K63" s="131"/>
      <c r="L63" s="131"/>
    </row>
    <row r="64" spans="1:12" ht="15">
      <c r="A64" s="144"/>
      <c r="B64" s="144"/>
      <c r="C64" s="144"/>
      <c r="D64" s="144"/>
      <c r="E64" s="144"/>
      <c r="F64" s="144"/>
      <c r="G64" s="144"/>
      <c r="H64" s="144"/>
      <c r="I64" s="144"/>
      <c r="J64" s="131"/>
      <c r="K64" s="131"/>
      <c r="L64" s="131"/>
    </row>
    <row r="65" spans="1:12" ht="15">
      <c r="A65" s="144"/>
      <c r="B65" s="144"/>
      <c r="C65" s="144"/>
      <c r="D65" s="144"/>
      <c r="E65" s="144"/>
      <c r="F65" s="144"/>
      <c r="G65" s="144"/>
      <c r="H65" s="144"/>
      <c r="I65" s="144"/>
      <c r="J65" s="131"/>
      <c r="K65" s="131"/>
      <c r="L65" s="131"/>
    </row>
    <row r="66" spans="1:12" ht="15">
      <c r="A66" s="144"/>
      <c r="B66" s="144"/>
      <c r="C66" s="144"/>
      <c r="D66" s="144"/>
      <c r="E66" s="144"/>
      <c r="F66" s="144"/>
      <c r="G66" s="144"/>
      <c r="H66" s="144"/>
      <c r="I66" s="144"/>
      <c r="J66" s="131"/>
      <c r="K66" s="131"/>
      <c r="L66" s="131"/>
    </row>
    <row r="67" spans="1:12" ht="15">
      <c r="A67" s="144"/>
      <c r="B67" s="144"/>
      <c r="C67" s="144"/>
      <c r="D67" s="144"/>
      <c r="E67" s="144"/>
      <c r="F67" s="144"/>
      <c r="G67" s="144"/>
      <c r="H67" s="144"/>
      <c r="I67" s="144"/>
      <c r="J67" s="131"/>
      <c r="K67" s="131"/>
      <c r="L67" s="131"/>
    </row>
    <row r="68" spans="1:12" ht="15">
      <c r="A68" s="144"/>
      <c r="B68" s="144"/>
      <c r="C68" s="144"/>
      <c r="D68" s="144"/>
      <c r="E68" s="144"/>
      <c r="F68" s="144"/>
      <c r="G68" s="144"/>
      <c r="H68" s="144"/>
      <c r="I68" s="144"/>
      <c r="J68" s="131"/>
      <c r="K68" s="131"/>
      <c r="L68" s="131"/>
    </row>
    <row r="69" spans="1:12" ht="15">
      <c r="A69" s="144"/>
      <c r="B69" s="144"/>
      <c r="C69" s="144"/>
      <c r="D69" s="144"/>
      <c r="E69" s="144"/>
      <c r="F69" s="144"/>
      <c r="G69" s="144"/>
      <c r="H69" s="144"/>
      <c r="I69" s="144"/>
      <c r="J69" s="131"/>
      <c r="K69" s="131"/>
      <c r="L69" s="131"/>
    </row>
    <row r="70" spans="1:12" ht="15">
      <c r="A70" s="144"/>
      <c r="B70" s="144"/>
      <c r="C70" s="144"/>
      <c r="D70" s="144"/>
      <c r="E70" s="144"/>
      <c r="F70" s="144"/>
      <c r="G70" s="144"/>
      <c r="H70" s="144"/>
      <c r="I70" s="144"/>
      <c r="J70" s="131"/>
      <c r="K70" s="131"/>
      <c r="L70" s="131"/>
    </row>
    <row r="71" spans="1:12" ht="15">
      <c r="A71" s="144"/>
      <c r="B71" s="144"/>
      <c r="C71" s="144"/>
      <c r="D71" s="144"/>
      <c r="E71" s="144"/>
      <c r="F71" s="144"/>
      <c r="G71" s="144"/>
      <c r="H71" s="144"/>
      <c r="I71" s="144"/>
      <c r="J71" s="131"/>
      <c r="K71" s="131"/>
      <c r="L71" s="131"/>
    </row>
    <row r="72" spans="1:12" ht="15">
      <c r="A72" s="144"/>
      <c r="B72" s="144"/>
      <c r="C72" s="144"/>
      <c r="D72" s="144"/>
      <c r="E72" s="144"/>
      <c r="F72" s="144"/>
      <c r="G72" s="144"/>
      <c r="H72" s="144"/>
      <c r="I72" s="144"/>
      <c r="J72" s="131"/>
      <c r="K72" s="131"/>
      <c r="L72" s="131"/>
    </row>
    <row r="73" spans="1:12" ht="15" hidden="1">
      <c r="A73" s="144"/>
      <c r="B73" s="144"/>
      <c r="C73" s="144"/>
      <c r="D73" s="144"/>
      <c r="E73" s="144"/>
      <c r="F73" s="144"/>
      <c r="G73" s="144"/>
      <c r="H73" s="144"/>
      <c r="I73" s="144"/>
      <c r="J73" s="131"/>
      <c r="K73" s="131"/>
      <c r="L73" s="131"/>
    </row>
    <row r="74" spans="1:12" ht="15" hidden="1">
      <c r="A74" s="131"/>
      <c r="B74" s="131"/>
      <c r="C74" s="131"/>
      <c r="D74" s="131"/>
      <c r="E74" s="131"/>
      <c r="F74" s="131"/>
      <c r="G74" s="131"/>
      <c r="H74" s="131"/>
      <c r="I74" s="131"/>
      <c r="J74" s="131"/>
      <c r="K74" s="131"/>
      <c r="L74" s="131"/>
    </row>
    <row r="75" spans="1:12" ht="15" hidden="1">
      <c r="A75" s="131"/>
      <c r="B75" s="131"/>
      <c r="C75" s="131"/>
      <c r="D75" s="131"/>
      <c r="E75" s="131"/>
      <c r="F75" s="131"/>
      <c r="G75" s="131"/>
      <c r="H75" s="131"/>
      <c r="I75" s="131"/>
      <c r="J75" s="131"/>
      <c r="K75" s="131"/>
      <c r="L75" s="131"/>
    </row>
    <row r="76" spans="1:12" ht="15" hidden="1">
      <c r="A76" s="131"/>
      <c r="B76" s="131"/>
      <c r="C76" s="131"/>
      <c r="D76" s="131"/>
      <c r="E76" s="131"/>
      <c r="F76" s="131"/>
      <c r="G76" s="131"/>
      <c r="H76" s="131"/>
      <c r="I76" s="131"/>
      <c r="J76" s="131"/>
      <c r="K76" s="131"/>
      <c r="L76" s="131"/>
    </row>
    <row r="77" spans="1:12" ht="15" hidden="1">
      <c r="A77" s="131"/>
      <c r="B77" s="131"/>
      <c r="C77" s="131"/>
      <c r="D77" s="131"/>
      <c r="E77" s="131"/>
      <c r="F77" s="131"/>
      <c r="G77" s="131"/>
      <c r="H77" s="131"/>
      <c r="I77" s="131"/>
      <c r="J77" s="131"/>
      <c r="K77" s="131"/>
      <c r="L77" s="131"/>
    </row>
    <row r="78" spans="1:12" ht="15" hidden="1">
      <c r="A78" s="131"/>
      <c r="B78" s="131"/>
      <c r="C78" s="131"/>
      <c r="D78" s="131"/>
      <c r="E78" s="131"/>
      <c r="F78" s="131"/>
      <c r="G78" s="131"/>
      <c r="H78" s="131"/>
      <c r="I78" s="131"/>
      <c r="J78" s="131"/>
      <c r="K78" s="131"/>
      <c r="L78" s="131"/>
    </row>
    <row r="79" spans="1:12" ht="15" hidden="1">
      <c r="A79" s="131"/>
      <c r="B79" s="131"/>
      <c r="C79" s="131"/>
      <c r="D79" s="131"/>
      <c r="E79" s="131"/>
      <c r="F79" s="131"/>
      <c r="G79" s="131"/>
      <c r="H79" s="131"/>
      <c r="I79" s="131"/>
      <c r="J79" s="131"/>
      <c r="K79" s="131"/>
      <c r="L79" s="131"/>
    </row>
    <row r="80" spans="1:12" ht="15" hidden="1">
      <c r="A80" s="131"/>
      <c r="B80" s="131"/>
      <c r="C80" s="131"/>
      <c r="D80" s="131"/>
      <c r="E80" s="131"/>
      <c r="F80" s="131"/>
      <c r="G80" s="131"/>
      <c r="H80" s="131"/>
      <c r="I80" s="131"/>
      <c r="J80" s="131"/>
      <c r="K80" s="131"/>
      <c r="L80" s="131"/>
    </row>
    <row r="81" spans="1:12" ht="15" hidden="1">
      <c r="A81" s="131"/>
      <c r="B81" s="131"/>
      <c r="C81" s="131"/>
      <c r="D81" s="131"/>
      <c r="E81" s="131"/>
      <c r="F81" s="131"/>
      <c r="G81" s="131"/>
      <c r="H81" s="131"/>
      <c r="I81" s="131"/>
      <c r="J81" s="131"/>
      <c r="K81" s="131"/>
      <c r="L81" s="131"/>
    </row>
    <row r="82" ht="14.25" customHeight="1" hidden="1"/>
    <row r="83" ht="14.25" hidden="1">
      <c r="D83" s="145"/>
    </row>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14.25" customHeight="1" hidden="1"/>
    <row r="160" ht="14.25" customHeight="1" hidden="1"/>
    <row r="161" ht="14.25" customHeight="1" hidden="1"/>
    <row r="162" ht="14.25" customHeight="1" hidden="1"/>
    <row r="163" ht="14.25" customHeight="1" hidden="1"/>
    <row r="164" ht="14.25" customHeight="1" hidden="1"/>
    <row r="165" ht="14.25" customHeight="1" hidden="1"/>
    <row r="166" ht="14.25" customHeight="1" hidden="1"/>
    <row r="167" ht="14.25" customHeight="1" hidden="1"/>
    <row r="168" ht="14.25" customHeight="1" hidden="1"/>
    <row r="169" ht="18" customHeight="1" hidden="1"/>
    <row r="170" ht="14.25" customHeight="1" hidden="1"/>
    <row r="171" ht="14.25" customHeight="1" hidden="1"/>
    <row r="172" ht="14.25" customHeight="1" hidden="1"/>
    <row r="173" ht="14.25" customHeight="1" hidden="1"/>
    <row r="174" ht="14.25" customHeight="1" hidden="1"/>
    <row r="175" ht="14.25" customHeight="1" hidden="1"/>
    <row r="176" ht="14.25" customHeight="1" hidden="1"/>
    <row r="177" ht="14.25" customHeight="1" hidden="1"/>
    <row r="178" ht="14.25" customHeight="1" hidden="1"/>
    <row r="179" ht="14.25" customHeight="1" hidden="1"/>
    <row r="180" ht="14.25" customHeight="1" hidden="1"/>
    <row r="181" ht="14.25" customHeight="1" hidden="1"/>
    <row r="182" ht="14.25" customHeight="1" hidden="1"/>
    <row r="183" ht="14.25" customHeight="1" hidden="1"/>
    <row r="184" ht="14.25" customHeight="1" hidden="1"/>
    <row r="185" ht="14.25" customHeight="1" hidden="1"/>
    <row r="186" ht="14.25" customHeight="1" hidden="1"/>
    <row r="187" ht="14.25" customHeight="1" hidden="1"/>
    <row r="188" ht="14.25" customHeight="1" hidden="1"/>
    <row r="189" ht="14.25" customHeight="1" hidden="1"/>
    <row r="190" ht="14.25" customHeight="1" hidden="1"/>
    <row r="191" ht="14.25" customHeight="1" hidden="1"/>
    <row r="192" ht="14.25" customHeight="1" hidden="1"/>
    <row r="193" ht="14.25" customHeight="1" hidden="1"/>
    <row r="194" ht="14.25" customHeight="1" hidden="1"/>
    <row r="195" ht="14.25" customHeight="1" hidden="1"/>
    <row r="196" ht="14.25" customHeight="1" hidden="1"/>
    <row r="197" ht="14.25" customHeight="1" hidden="1"/>
    <row r="198" ht="14.25" customHeight="1" hidden="1"/>
    <row r="199" ht="14.25" customHeight="1" hidden="1"/>
    <row r="200" ht="14.25" customHeight="1" hidden="1"/>
    <row r="201" ht="14.25" customHeight="1" hidden="1"/>
    <row r="202" ht="14.25" customHeight="1" hidden="1"/>
    <row r="203" ht="14.25" customHeight="1" hidden="1"/>
    <row r="204" ht="14.25" customHeight="1" hidden="1"/>
    <row r="205" ht="14.25" customHeight="1" hidden="1"/>
    <row r="206" ht="14.25" customHeight="1" hidden="1"/>
    <row r="207" ht="14.25" customHeight="1" hidden="1"/>
    <row r="208" ht="14.25" customHeight="1" hidden="1"/>
    <row r="209" ht="14.25" customHeight="1" hidden="1"/>
    <row r="210" ht="14.25" customHeight="1" hidden="1"/>
    <row r="211" ht="14.25" customHeight="1" hidden="1"/>
    <row r="212" ht="14.25" customHeight="1" hidden="1"/>
    <row r="213" ht="14.25" customHeight="1" hidden="1"/>
    <row r="214" ht="14.25" customHeight="1" hidden="1"/>
    <row r="215" ht="14.25" customHeight="1" hidden="1"/>
    <row r="216" ht="14.25" customHeight="1" hidden="1"/>
    <row r="217" ht="14.25" customHeight="1" hidden="1"/>
    <row r="218" ht="14.25" customHeight="1" hidden="1"/>
    <row r="219" ht="14.25" customHeight="1" hidden="1"/>
    <row r="220" ht="14.25" customHeight="1" hidden="1"/>
    <row r="221" ht="14.25" customHeight="1" hidden="1"/>
    <row r="222" ht="14.25" customHeight="1" hidden="1"/>
    <row r="223" ht="14.25" customHeight="1" hidden="1"/>
    <row r="224" ht="14.25" customHeight="1" hidden="1"/>
    <row r="225" ht="14.25" customHeight="1" hidden="1"/>
    <row r="226" ht="14.25" customHeight="1" hidden="1"/>
    <row r="227" ht="14.25" customHeight="1" hidden="1"/>
    <row r="228" ht="14.25" customHeight="1" hidden="1"/>
    <row r="229" ht="14.25" customHeight="1" hidden="1"/>
    <row r="230" ht="14.25" customHeight="1" hidden="1"/>
    <row r="231" ht="14.25" customHeight="1" hidden="1"/>
    <row r="232" ht="14.25" customHeight="1" hidden="1"/>
    <row r="233" ht="14.25" customHeight="1" hidden="1"/>
    <row r="234" ht="14.25" customHeight="1" hidden="1"/>
    <row r="235" ht="14.25" customHeight="1" hidden="1"/>
    <row r="236" ht="14.25" customHeight="1" hidden="1"/>
    <row r="237" ht="14.25" customHeight="1" hidden="1"/>
    <row r="238" ht="14.25" customHeight="1" hidden="1"/>
    <row r="239" ht="14.25" customHeight="1" hidden="1"/>
    <row r="240" ht="14.25" customHeight="1" hidden="1"/>
    <row r="241" ht="14.25" customHeight="1" hidden="1"/>
    <row r="242" ht="14.25" customHeight="1" hidden="1"/>
    <row r="243" ht="14.25" customHeight="1" hidden="1"/>
    <row r="244" ht="14.25" customHeight="1" hidden="1"/>
    <row r="245" ht="14.25" customHeight="1" hidden="1"/>
    <row r="246" ht="14.25" customHeight="1" hidden="1"/>
    <row r="247" ht="14.25" customHeight="1" hidden="1"/>
    <row r="248" ht="14.25" customHeight="1" hidden="1"/>
    <row r="249" ht="14.25" customHeight="1" hidden="1"/>
    <row r="250" ht="14.25" customHeight="1" hidden="1"/>
    <row r="251" ht="14.25" customHeight="1" hidden="1"/>
    <row r="252" ht="14.25" customHeight="1" hidden="1"/>
    <row r="253" ht="14.25" customHeight="1" hidden="1"/>
    <row r="254" ht="14.25" customHeight="1" hidden="1"/>
    <row r="255" ht="14.25" customHeight="1" hidden="1"/>
    <row r="256" ht="14.25" customHeight="1" hidden="1"/>
    <row r="257" ht="14.25" customHeight="1" hidden="1"/>
    <row r="258" ht="14.25" customHeight="1" hidden="1"/>
    <row r="259" ht="14.25" customHeight="1" hidden="1"/>
    <row r="260" ht="14.25" customHeight="1" hidden="1"/>
    <row r="261" ht="14.25" customHeight="1" hidden="1"/>
    <row r="262" ht="14.25" customHeight="1" hidden="1"/>
    <row r="263" ht="14.25" customHeight="1" hidden="1"/>
    <row r="264" ht="14.25" customHeight="1" hidden="1"/>
    <row r="265" ht="14.25" customHeight="1" hidden="1"/>
    <row r="266" ht="14.25" customHeight="1" hidden="1"/>
    <row r="267" ht="14.25" customHeight="1" hidden="1"/>
    <row r="268" ht="14.25" customHeight="1" hidden="1"/>
    <row r="269" ht="14.25" customHeight="1" hidden="1"/>
    <row r="270" ht="14.25" customHeight="1" hidden="1"/>
    <row r="271" ht="14.25" customHeight="1" hidden="1"/>
    <row r="272" ht="14.25" customHeight="1" hidden="1"/>
    <row r="273" ht="14.25" customHeight="1" hidden="1"/>
    <row r="274" ht="14.25" customHeight="1" hidden="1"/>
    <row r="275" ht="14.25" customHeight="1"/>
  </sheetData>
  <sheetProtection password="83AF" sheet="1" objects="1" scenarios="1" selectLockedCells="1" selectUnlockedCells="1"/>
  <mergeCells count="14">
    <mergeCell ref="C1:D1"/>
    <mergeCell ref="B31:E31"/>
    <mergeCell ref="B32:E32"/>
    <mergeCell ref="B33:E33"/>
    <mergeCell ref="B34:E34"/>
    <mergeCell ref="A37:B37"/>
    <mergeCell ref="A38:B38"/>
    <mergeCell ref="A39:B39"/>
    <mergeCell ref="A40:B40"/>
    <mergeCell ref="A41:B41"/>
    <mergeCell ref="F31:J31"/>
    <mergeCell ref="F32:J32"/>
    <mergeCell ref="F33:J33"/>
    <mergeCell ref="F34:J34"/>
  </mergeCells>
  <printOptions horizontalCentered="1"/>
  <pageMargins left="0.5" right="0.5" top="1.25" bottom="0.75" header="0.75" footer="0.5"/>
  <pageSetup fitToHeight="10" horizontalDpi="300" verticalDpi="300" orientation="landscape" scale="86" r:id="rId5"/>
  <headerFooter alignWithMargins="0">
    <oddHeader>&amp;L&amp;"Trebuchet MS,Regular"&amp;12Calibration of Weight Carts&amp;R&amp;"Trebuchet MS,Regular"&amp;12WAMRF-010, Rev. 07, 11/6/2014</oddHeader>
    <oddFooter>&amp;L&amp;"Trebuchet MS,Regular"&amp;12&amp;F&amp;R&amp;"Trebuchet MS,Regular"&amp;12&amp;A Worksheet Page &amp;P of &amp;N</oddFooter>
  </headerFooter>
  <rowBreaks count="2" manualBreakCount="2">
    <brk id="28" max="10" man="1"/>
    <brk id="52" max="10" man="1"/>
  </rowBreaks>
  <drawing r:id="rId4"/>
  <legacyDrawing r:id="rId3"/>
  <oleObjects>
    <oleObject progId="Equation.3" shapeId="629072" r:id="rId1"/>
    <oleObject progId="Equation.3" shapeId="629084" r:id="rId2"/>
  </oleObjects>
</worksheet>
</file>

<file path=xl/worksheets/sheet11.xml><?xml version="1.0" encoding="utf-8"?>
<worksheet xmlns="http://schemas.openxmlformats.org/spreadsheetml/2006/main" xmlns:r="http://schemas.openxmlformats.org/officeDocument/2006/relationships">
  <sheetPr>
    <tabColor indexed="61"/>
  </sheetPr>
  <dimension ref="A1:E19"/>
  <sheetViews>
    <sheetView showGridLines="0" zoomScalePageLayoutView="0" workbookViewId="0" topLeftCell="A1">
      <selection activeCell="A1" sqref="A1"/>
    </sheetView>
  </sheetViews>
  <sheetFormatPr defaultColWidth="0" defaultRowHeight="12.75" zeroHeight="1"/>
  <cols>
    <col min="1" max="5" width="12.7109375" style="10" customWidth="1"/>
    <col min="6" max="6" width="1.7109375" style="10" customWidth="1"/>
    <col min="7" max="9" width="0" style="10" hidden="1" customWidth="1"/>
    <col min="10" max="16384" width="9.140625" style="10" hidden="1" customWidth="1"/>
  </cols>
  <sheetData>
    <row r="1" spans="1:5" ht="19.5" thickBot="1">
      <c r="A1" s="36" t="s">
        <v>43</v>
      </c>
      <c r="B1" s="22"/>
      <c r="C1" s="22"/>
      <c r="D1" s="22"/>
      <c r="E1" s="37">
        <f>IF(RptNo="","","Report Number: "&amp;RptNo)</f>
      </c>
    </row>
    <row r="2" spans="1:5" ht="19.5" customHeight="1" thickBot="1">
      <c r="A2" s="693" t="s">
        <v>380</v>
      </c>
      <c r="B2" s="693"/>
      <c r="C2" s="693"/>
      <c r="D2" s="693"/>
      <c r="E2" s="693"/>
    </row>
    <row r="3" spans="1:5" ht="18" customHeight="1">
      <c r="A3" s="694" t="s">
        <v>38</v>
      </c>
      <c r="B3" s="695"/>
      <c r="C3" s="695"/>
      <c r="D3" s="695"/>
      <c r="E3" s="696"/>
    </row>
    <row r="4" spans="1:5" ht="15.75">
      <c r="A4" s="687" t="s">
        <v>28</v>
      </c>
      <c r="B4" s="687"/>
      <c r="C4" s="687"/>
      <c r="D4" s="688">
        <f>IF(ISBLANK(P_1),"",AVERAGE(P_1+P_corr,P_2+P_corr))</f>
      </c>
      <c r="E4" s="688"/>
    </row>
    <row r="5" spans="1:5" ht="15.75">
      <c r="A5" s="687" t="s">
        <v>29</v>
      </c>
      <c r="B5" s="687"/>
      <c r="C5" s="687"/>
      <c r="D5" s="688">
        <f>IF(ISBLANK(t_1),"",AVERAGE(t_1+t_corr,t_2+t_corr))</f>
      </c>
      <c r="E5" s="688"/>
    </row>
    <row r="6" spans="1:5" ht="15.75">
      <c r="A6" s="687" t="s">
        <v>30</v>
      </c>
      <c r="B6" s="687"/>
      <c r="C6" s="687"/>
      <c r="D6" s="688">
        <f>IF(ISBLANK(U_1),"",AVERAGE(U_1+U_corr,U_2+U_corr))</f>
      </c>
      <c r="E6" s="688"/>
    </row>
    <row r="7" spans="1:5" ht="15.75">
      <c r="A7" s="689" t="s">
        <v>387</v>
      </c>
      <c r="B7" s="689"/>
      <c r="C7" s="689"/>
      <c r="D7" s="688">
        <f>IF(D6="","",((((D4*(133.322368421053))*(0.02896546))/((1-(((D4*133.322368421053)/(D5+273.15))*((0.00000158123)+((-0.000000029331)*(D5))+(0.00000000011043*D5^2)+(((0.000005707)+(-0.00000002051*D5))*((D6/100)*((1.00062+0.0000000314*(D4*133.322368421053)+0.00000056*D5^2)*((EXP(0.000012378847*(D5+273.15)^2+(-0.019121316*(D5+273.15))+33.93711047+(-6343.1645/(D5+273.15))))/(D4*133.322368421053)))))+((0.00019898+(-0.000002376*D5))*(((D6/100)*((1.00062+0.0000000314*(D4*133.322368421053)+0.00000056*D5^2)*((EXP(0.000012378847*(D5+273.15)^2+(-0.019121316)*(D5+273.15)+33.93711047+(-6343.1645)/(D5+273.15)))/(D4*133.322368421053))))^2))))+(((D4*133.322368421053)^2/((D5+273.15)^2)*(0.0000000000183+(-0.00000000765*(((D6/100)*((1.00062+0.0000000314*(D4*133.322368421053)+0.00000056*D5^2)*((EXP(0.000012378847*(D5+273.15)^2+(-0.019121316)*(D5+273.15)+33.93711047+(-6343.1645)/(D5+273.15)))/(D4*133.322368421053))))^2))))))*(8.314472)*(D5+273.15)))*(1-((0.378*((D6/100)*((1.00062+0.0000000314*(D4*133.322368421053)+0.00000056*D5^2)*((EXP(0.000012378847*(D5+273.15)^2+(-0.019121316)*(D5+273.15)+33.93711047+(-6343.1645)/(D5+273.15)))/(D4*133.322368421053)))))))))</f>
      </c>
      <c r="E7" s="688"/>
    </row>
    <row r="8" spans="1:5" ht="12" customHeight="1">
      <c r="A8" s="116"/>
      <c r="B8" s="116"/>
      <c r="C8" s="116"/>
      <c r="D8" s="116"/>
      <c r="E8" s="115"/>
    </row>
    <row r="9" spans="1:5" ht="16.5" customHeight="1">
      <c r="A9" s="692" t="s">
        <v>39</v>
      </c>
      <c r="B9" s="692"/>
      <c r="C9" s="692"/>
      <c r="D9" s="692"/>
      <c r="E9" s="692"/>
    </row>
    <row r="10" spans="1:5" ht="15.75">
      <c r="A10" s="687" t="s">
        <v>28</v>
      </c>
      <c r="B10" s="687"/>
      <c r="C10" s="687"/>
      <c r="D10" s="688">
        <f>IF(ISBLANK(P_1_left),"",AVERAGE(P_1_left+P_corr,P_2_left+P_corr))</f>
      </c>
      <c r="E10" s="688"/>
    </row>
    <row r="11" spans="1:5" ht="15.75">
      <c r="A11" s="687" t="s">
        <v>29</v>
      </c>
      <c r="B11" s="687"/>
      <c r="C11" s="687"/>
      <c r="D11" s="688">
        <f>IF(ISBLANK(t_1_left),"",AVERAGE(t_1_left+t_corr,t_2_left+t_corr))</f>
      </c>
      <c r="E11" s="688"/>
    </row>
    <row r="12" spans="1:5" ht="15.75">
      <c r="A12" s="687" t="s">
        <v>30</v>
      </c>
      <c r="B12" s="687"/>
      <c r="C12" s="687"/>
      <c r="D12" s="688">
        <f>IF(ISBLANK(U_1_left),"",AVERAGE(U_1_left+U_corr,U_2_left+U_corr))</f>
      </c>
      <c r="E12" s="688"/>
    </row>
    <row r="13" spans="1:5" ht="15.75">
      <c r="A13" s="689" t="s">
        <v>387</v>
      </c>
      <c r="B13" s="689"/>
      <c r="C13" s="689"/>
      <c r="D13" s="688">
        <f>IF(D12="","",((((D10*(133.322368421053))*(0.02896546))/((1-(((D10*133.322368421053)/(D11+273.15))*((0.00000158123)+((-0.000000029331)*(D11))+(0.00000000011043*D11^2)+(((0.000005707)+(-0.00000002051*D11))*((D12/100)*((1.00062+0.0000000314*(D10*133.322368421053)+0.00000056*D11^2)*((EXP(0.000012378847*(D11+273.15)^2+(-0.019121316*(D11+273.15))+33.93711047+(-6343.1645/(D11+273.15))))/(D10*133.322368421053)))))+((0.00019898+(-0.000002376*D11))*(((D12/100)*((1.00062+0.0000000314*(D10*133.322368421053)+0.00000056*D11^2)*((EXP(0.000012378847*(D11+273.15)^2+(-0.019121316)*(D11+273.15)+33.93711047+(-6343.1645)/(D11+273.15)))/(D10*133.322368421053))))^2))))+(((D10*133.322368421053)^2/((D11+273.15)^2)*(0.0000000000183+(-0.00000000765*(((D12/100)*((1.00062+0.0000000314*(D10*133.322368421053)+0.00000056*D11^2)*((EXP(0.000012378847*(D11+273.15)^2+(-0.019121316)*(D11+273.15)+33.93711047+(-6343.1645)/(D11+273.15)))/(D10*133.322368421053))))^2))))))*(8.314472)*(D11+273.15)))*(1-((0.378*((D12/100)*((1.00062+0.0000000314*(D10*133.322368421053)+0.00000056*D11^2)*((EXP(0.000012378847*(D11+273.15)^2+(-0.019121316)*(D11+273.15)+33.93711047+(-6343.1645)/(D11+273.15)))/(D10*133.322368421053)))))))))</f>
      </c>
      <c r="E13" s="688"/>
    </row>
    <row r="14" spans="1:5" ht="15.75">
      <c r="A14" s="49"/>
      <c r="B14" s="49"/>
      <c r="C14" s="49"/>
      <c r="D14" s="49"/>
      <c r="E14" s="50"/>
    </row>
    <row r="15" spans="1:5" ht="49.5" customHeight="1">
      <c r="A15" s="690" t="s">
        <v>539</v>
      </c>
      <c r="B15" s="691"/>
      <c r="C15" s="691"/>
      <c r="D15" s="691"/>
      <c r="E15" s="691"/>
    </row>
    <row r="16" spans="1:5" ht="15.75">
      <c r="A16" s="687" t="s">
        <v>576</v>
      </c>
      <c r="B16" s="687"/>
      <c r="C16" s="687"/>
      <c r="D16" s="688">
        <f>IF(ISERROR(AVERAGE(P,P_left)),"",IF(ISBLANK(P_left),P,AVERAGE(P,P_left)))</f>
      </c>
      <c r="E16" s="688"/>
    </row>
    <row r="17" spans="1:5" ht="15.75">
      <c r="A17" s="687" t="s">
        <v>577</v>
      </c>
      <c r="B17" s="687"/>
      <c r="C17" s="687"/>
      <c r="D17" s="688">
        <f>IF(ISERROR(AVERAGE(t,t_left)),"",IF(ISBLANK(t_left),t,AVERAGE(t,t_left)))</f>
      </c>
      <c r="E17" s="688"/>
    </row>
    <row r="18" spans="1:5" ht="15.75">
      <c r="A18" s="687" t="s">
        <v>578</v>
      </c>
      <c r="B18" s="687"/>
      <c r="C18" s="687"/>
      <c r="D18" s="688">
        <f>IF(ISERROR(AVERAGE(U,U_left)),"",IF(ISBLANK(U_left),U,AVERAGE(U,U_left)))</f>
      </c>
      <c r="E18" s="688"/>
    </row>
    <row r="19" spans="1:5" ht="15.75">
      <c r="A19" s="687" t="s">
        <v>579</v>
      </c>
      <c r="B19" s="689"/>
      <c r="C19" s="689"/>
      <c r="D19" s="688">
        <f>IF(D18="",0.0012,ROUND(((((D16*(133.322368421053))*(0.02896546))/((1-(((D16*133.322368421053)/(D17+273.15))*((0.00000158123)+((-0.000000029331)*(D17))+(0.00000000011043*D17^2)+(((0.000005707)+(-0.00000002051*D17))*((D18/100)*((1.00062+0.0000000314*(D16*133.322368421053)+0.00000056*D17^2)*((EXP(0.000012378847*(D17+273.15)^2+(-0.019121316*(D17+273.15))+33.93711047+(-6343.1645/(D17+273.15))))/(D16*133.322368421053)))))+((0.00019898+(-0.000002376*D17))*(((D18/100)*((1.00062+0.0000000314*(D16*133.322368421053)+0.00000056*D17^2)*((EXP(0.000012378847*(D17+273.15)^2+(-0.019121316)*(D17+273.15)+33.93711047+(-6343.1645)/(D17+273.15)))/(D16*133.322368421053))))^2))))+(((D16*133.322368421053)^2/((D17+273.15)^2)*(0.0000000000183+(-0.00000000765*(((D18/100)*((1.00062+0.0000000314*(D16*133.322368421053)+0.00000056*D17^2)*((EXP(0.000012378847*(D17+273.15)^2+(-0.019121316)*(D17+273.15)+33.93711047+(-6343.1645)/(D17+273.15)))/(D16*133.322368421053))))^2))))))*(8.314472)*(D17+273.15)))*(1-((0.378*((D18/100)*((1.00062+0.0000000314*(D16*133.322368421053)+0.00000056*D17^2)*((EXP(0.000012378847*(D17+273.15)^2+(-0.019121316)*(D17+273.15)+33.93711047+(-6343.1645)/(D17+273.15)))/(D16*133.322368421053))))))))/1000,9))</f>
        <v>0.0012</v>
      </c>
      <c r="E19" s="688"/>
    </row>
    <row r="20" ht="15.75"/>
    <row r="21" ht="15.75" hidden="1"/>
  </sheetData>
  <sheetProtection password="83AF" sheet="1" objects="1" scenarios="1" selectLockedCells="1" selectUnlockedCells="1"/>
  <mergeCells count="28">
    <mergeCell ref="A6:C6"/>
    <mergeCell ref="A7:C7"/>
    <mergeCell ref="D4:E4"/>
    <mergeCell ref="D5:E5"/>
    <mergeCell ref="D6:E6"/>
    <mergeCell ref="D7:E7"/>
    <mergeCell ref="A4:C4"/>
    <mergeCell ref="A5:C5"/>
    <mergeCell ref="A17:C17"/>
    <mergeCell ref="D17:E17"/>
    <mergeCell ref="A2:E2"/>
    <mergeCell ref="A13:C13"/>
    <mergeCell ref="D13:E13"/>
    <mergeCell ref="A11:C11"/>
    <mergeCell ref="D11:E11"/>
    <mergeCell ref="A12:C12"/>
    <mergeCell ref="D12:E12"/>
    <mergeCell ref="A3:E3"/>
    <mergeCell ref="A18:C18"/>
    <mergeCell ref="D18:E18"/>
    <mergeCell ref="A19:C19"/>
    <mergeCell ref="D19:E19"/>
    <mergeCell ref="A15:E15"/>
    <mergeCell ref="A9:E9"/>
    <mergeCell ref="A10:C10"/>
    <mergeCell ref="D10:E10"/>
    <mergeCell ref="A16:C16"/>
    <mergeCell ref="D16:E16"/>
  </mergeCells>
  <printOptions horizontalCentered="1"/>
  <pageMargins left="0.5" right="0.5" top="1.25" bottom="0.75" header="0.75" footer="0.5"/>
  <pageSetup horizontalDpi="600" verticalDpi="600" orientation="portrait" r:id="rId1"/>
  <headerFooter alignWithMargins="0">
    <oddHeader>&amp;L&amp;"Trebuchet MS,Regular"&amp;12Calibration of Weight Carts&amp;R&amp;"Trebuchet MS,Regular"&amp;12WAMRF-010, Rev. 07, 11/6/2014</oddHeader>
    <oddFooter>&amp;L&amp;"Trebuchet MS,Regular"&amp;12&amp;F&amp;R&amp;"Trebuchet MS,Regular"&amp;12&amp;A Worksheet Page &amp;P of &amp;N</oddFooter>
  </headerFooter>
</worksheet>
</file>

<file path=xl/worksheets/sheet12.xml><?xml version="1.0" encoding="utf-8"?>
<worksheet xmlns="http://schemas.openxmlformats.org/spreadsheetml/2006/main" xmlns:r="http://schemas.openxmlformats.org/officeDocument/2006/relationships">
  <sheetPr>
    <tabColor indexed="19"/>
  </sheetPr>
  <dimension ref="A1:E35"/>
  <sheetViews>
    <sheetView showGridLines="0" zoomScalePageLayoutView="0" workbookViewId="0" topLeftCell="A1">
      <selection activeCell="A1" sqref="A1"/>
    </sheetView>
  </sheetViews>
  <sheetFormatPr defaultColWidth="0" defaultRowHeight="12.75" zeroHeight="1"/>
  <cols>
    <col min="1" max="1" width="28.140625" style="1" customWidth="1"/>
    <col min="2" max="2" width="13.28125" style="1" customWidth="1"/>
    <col min="3" max="3" width="1.7109375" style="1" customWidth="1"/>
    <col min="4" max="4" width="1.7109375" style="1" hidden="1" customWidth="1"/>
    <col min="5" max="5" width="25.7109375" style="1" hidden="1" customWidth="1"/>
    <col min="6" max="6" width="9.140625" style="1" hidden="1" customWidth="1"/>
    <col min="7" max="15" width="8.57421875" style="1" hidden="1" customWidth="1"/>
    <col min="16" max="16" width="0" style="1" hidden="1" customWidth="1"/>
    <col min="17" max="17" width="25.7109375" style="1" hidden="1" customWidth="1"/>
    <col min="18" max="18" width="9.140625" style="1" hidden="1" customWidth="1"/>
    <col min="19" max="27" width="8.57421875" style="1" hidden="1" customWidth="1"/>
    <col min="28" max="28" width="25.7109375" style="1" hidden="1" customWidth="1"/>
    <col min="29" max="29" width="9.140625" style="1" hidden="1" customWidth="1"/>
    <col min="30" max="39" width="8.57421875" style="1" hidden="1" customWidth="1"/>
    <col min="40" max="16384" width="9.140625" style="1" hidden="1" customWidth="1"/>
  </cols>
  <sheetData>
    <row r="1" spans="1:4" ht="19.5" thickBot="1">
      <c r="A1" s="36" t="s">
        <v>42</v>
      </c>
      <c r="B1" s="7"/>
      <c r="C1" s="6"/>
      <c r="D1" s="12"/>
    </row>
    <row r="2" spans="1:2" ht="12" customHeight="1" thickBot="1">
      <c r="A2" s="37">
        <f>IF(RptNo="","","Report Number: "&amp;RptNo)</f>
      </c>
      <c r="B2" s="269"/>
    </row>
    <row r="3" spans="1:5" ht="117.75" customHeight="1">
      <c r="A3" s="697" t="s">
        <v>399</v>
      </c>
      <c r="B3" s="698"/>
      <c r="E3"/>
    </row>
    <row r="4" spans="1:5" ht="15.75">
      <c r="A4" s="438">
        <v>2000</v>
      </c>
      <c r="B4" s="439">
        <v>0.5</v>
      </c>
      <c r="E4"/>
    </row>
    <row r="5" spans="1:5" ht="15.75">
      <c r="A5" s="438">
        <v>3000</v>
      </c>
      <c r="B5" s="439">
        <v>1</v>
      </c>
      <c r="E5"/>
    </row>
    <row r="6" spans="1:5" ht="15.75">
      <c r="A6" s="438">
        <v>4000</v>
      </c>
      <c r="B6" s="439">
        <v>1.25</v>
      </c>
      <c r="E6"/>
    </row>
    <row r="7" spans="1:5" ht="15.75">
      <c r="A7" s="438">
        <v>5000</v>
      </c>
      <c r="B7" s="439">
        <v>1.5</v>
      </c>
      <c r="E7"/>
    </row>
    <row r="8" spans="1:5" ht="16.5" thickBot="1">
      <c r="A8" s="440">
        <v>6000</v>
      </c>
      <c r="B8" s="441">
        <v>2</v>
      </c>
      <c r="E8"/>
    </row>
    <row r="9" spans="1:5" ht="15.75">
      <c r="A9"/>
      <c r="B9"/>
      <c r="E9"/>
    </row>
    <row r="10" spans="1:5" ht="15.75" hidden="1">
      <c r="A10"/>
      <c r="B10"/>
      <c r="E10"/>
    </row>
    <row r="11" spans="1:5" ht="15.75" hidden="1">
      <c r="A11"/>
      <c r="B11"/>
      <c r="E11"/>
    </row>
    <row r="12" spans="1:5" ht="15.75" hidden="1">
      <c r="A12"/>
      <c r="B12"/>
      <c r="E12"/>
    </row>
    <row r="13" spans="1:5" ht="15.75" hidden="1">
      <c r="A13"/>
      <c r="B13"/>
      <c r="E13"/>
    </row>
    <row r="14" spans="1:5" ht="15.75" hidden="1">
      <c r="A14"/>
      <c r="B14"/>
      <c r="E14"/>
    </row>
    <row r="15" spans="1:5" ht="15.75" hidden="1">
      <c r="A15"/>
      <c r="B15"/>
      <c r="E15"/>
    </row>
    <row r="16" spans="1:5" ht="15.75" hidden="1">
      <c r="A16"/>
      <c r="B16"/>
      <c r="E16"/>
    </row>
    <row r="17" spans="1:5" ht="15.75" hidden="1">
      <c r="A17"/>
      <c r="B17"/>
      <c r="E17"/>
    </row>
    <row r="18" spans="1:5" ht="15.75" hidden="1">
      <c r="A18"/>
      <c r="B18"/>
      <c r="E18"/>
    </row>
    <row r="19" spans="1:5" ht="15.75" hidden="1">
      <c r="A19"/>
      <c r="B19"/>
      <c r="E19"/>
    </row>
    <row r="20" spans="1:5" ht="15.75" hidden="1">
      <c r="A20"/>
      <c r="B20"/>
      <c r="E20"/>
    </row>
    <row r="21" spans="1:5" ht="15.75" hidden="1">
      <c r="A21"/>
      <c r="B21"/>
      <c r="E21"/>
    </row>
    <row r="22" spans="1:5" ht="15.75" hidden="1">
      <c r="A22"/>
      <c r="B22"/>
      <c r="E22"/>
    </row>
    <row r="23" ht="15.75" hidden="1">
      <c r="E23"/>
    </row>
    <row r="24" spans="1:5" ht="15.75" hidden="1">
      <c r="A24" s="14"/>
      <c r="B24" s="14"/>
      <c r="E24"/>
    </row>
    <row r="25" spans="1:5" ht="15.75" hidden="1">
      <c r="A25" s="14"/>
      <c r="B25" s="14"/>
      <c r="E25"/>
    </row>
    <row r="26" spans="1:5" ht="15.75" hidden="1">
      <c r="A26" s="14"/>
      <c r="B26" s="14"/>
      <c r="E26"/>
    </row>
    <row r="27" spans="1:5" ht="15.75" hidden="1">
      <c r="A27" s="14"/>
      <c r="B27" s="14"/>
      <c r="E27"/>
    </row>
    <row r="28" spans="1:2" ht="15.75" hidden="1">
      <c r="A28" s="14"/>
      <c r="B28" s="14"/>
    </row>
    <row r="29" spans="1:2" ht="15.75" hidden="1">
      <c r="A29" s="14"/>
      <c r="B29" s="14"/>
    </row>
    <row r="30" spans="1:2" ht="15.75" hidden="1">
      <c r="A30" s="14"/>
      <c r="B30" s="14"/>
    </row>
    <row r="31" spans="1:2" ht="15.75" hidden="1">
      <c r="A31" s="14"/>
      <c r="B31" s="14"/>
    </row>
    <row r="32" spans="1:2" ht="15.75" hidden="1">
      <c r="A32" s="14"/>
      <c r="B32" s="14"/>
    </row>
    <row r="33" spans="1:2" ht="15.75" hidden="1">
      <c r="A33" s="14"/>
      <c r="B33" s="14"/>
    </row>
    <row r="34" spans="1:2" ht="15.75" hidden="1">
      <c r="A34" s="14"/>
      <c r="B34" s="14"/>
    </row>
    <row r="35" spans="1:2" ht="15.75" hidden="1">
      <c r="A35" s="14"/>
      <c r="B35" s="14"/>
    </row>
    <row r="36" ht="15.75" hidden="1"/>
    <row r="37" ht="15.75" hidden="1"/>
    <row r="38" ht="15.75" hidden="1"/>
    <row r="39" ht="15.75" hidden="1"/>
    <row r="40" ht="15.75" hidden="1"/>
    <row r="41" ht="15.75" hidden="1"/>
  </sheetData>
  <sheetProtection password="83AF" sheet="1" objects="1" scenarios="1" selectLockedCells="1" selectUnlockedCells="1"/>
  <mergeCells count="1">
    <mergeCell ref="A3:B3"/>
  </mergeCells>
  <printOptions horizontalCentered="1"/>
  <pageMargins left="0.5" right="0.5" top="1.25" bottom="0.75" header="0.75" footer="0.5"/>
  <pageSetup horizontalDpi="600" verticalDpi="600" orientation="portrait" r:id="rId1"/>
  <headerFooter scaleWithDoc="0" alignWithMargins="0">
    <oddHeader>&amp;L&amp;"Trebuchet MS,Regular"&amp;12Calibration of Weight Carts&amp;R&amp;"Trebuchet MS,Regular"&amp;12WAMRF-010, Rev. 07, 11/6/2014</oddHeader>
    <oddFooter>&amp;L&amp;"Trebuchet MS,Regular"&amp;12&amp;F&amp;R&amp;"Trebuchet MS,Regular"&amp;12&amp;A Worksheet Page &amp;P of &amp;N</oddFooter>
  </headerFooter>
  <colBreaks count="1" manualBreakCount="1">
    <brk id="3" max="44" man="1"/>
  </colBreaks>
</worksheet>
</file>

<file path=xl/worksheets/sheet2.xml><?xml version="1.0" encoding="utf-8"?>
<worksheet xmlns="http://schemas.openxmlformats.org/spreadsheetml/2006/main" xmlns:r="http://schemas.openxmlformats.org/officeDocument/2006/relationships">
  <sheetPr>
    <tabColor theme="6" tint="-0.24997000396251678"/>
  </sheetPr>
  <dimension ref="A1:H31"/>
  <sheetViews>
    <sheetView showGridLines="0" showZeros="0" showOutlineSymbols="0" zoomScalePageLayoutView="0" workbookViewId="0" topLeftCell="A1">
      <pane ySplit="2" topLeftCell="A23" activePane="bottomLeft" state="frozen"/>
      <selection pane="topLeft" activeCell="A8" sqref="A8:B8"/>
      <selection pane="bottomLeft" activeCell="A31" sqref="A31"/>
    </sheetView>
  </sheetViews>
  <sheetFormatPr defaultColWidth="0" defaultRowHeight="12.75"/>
  <cols>
    <col min="1" max="1" width="19.8515625" style="107" bestFit="1" customWidth="1"/>
    <col min="2" max="2" width="60.7109375" style="104" customWidth="1"/>
    <col min="3" max="3" width="12.8515625" style="104" bestFit="1" customWidth="1"/>
    <col min="4" max="4" width="3.7109375" style="104" customWidth="1"/>
    <col min="5" max="8" width="12.57421875" style="104" hidden="1" customWidth="1"/>
    <col min="9" max="9" width="12.421875" style="104" hidden="1" customWidth="1"/>
    <col min="10" max="16384" width="9.140625" style="104" hidden="1" customWidth="1"/>
  </cols>
  <sheetData>
    <row r="1" spans="1:7" ht="20.25" thickBot="1">
      <c r="A1" s="98" t="s">
        <v>70</v>
      </c>
      <c r="B1" s="102"/>
      <c r="C1" s="103">
        <f>IF(ISBLANK(RptNo),"","Report Number: "&amp;RptNo)</f>
      </c>
      <c r="E1" s="105"/>
      <c r="F1" s="105"/>
      <c r="G1" s="105"/>
    </row>
    <row r="2" spans="1:8" ht="18">
      <c r="A2" s="110" t="s">
        <v>115</v>
      </c>
      <c r="B2" s="118" t="s">
        <v>14</v>
      </c>
      <c r="C2" s="110" t="s">
        <v>119</v>
      </c>
      <c r="D2" s="105"/>
      <c r="E2" s="105"/>
      <c r="F2" s="105"/>
      <c r="G2" s="105"/>
      <c r="H2" s="106"/>
    </row>
    <row r="3" spans="1:8" ht="54">
      <c r="A3" s="109">
        <v>41136</v>
      </c>
      <c r="B3" s="108" t="s">
        <v>389</v>
      </c>
      <c r="C3" s="110" t="s">
        <v>120</v>
      </c>
      <c r="D3" s="105"/>
      <c r="E3" s="105"/>
      <c r="F3" s="105"/>
      <c r="G3" s="105"/>
      <c r="H3" s="106"/>
    </row>
    <row r="4" spans="1:3" ht="18">
      <c r="A4" s="259">
        <v>41136</v>
      </c>
      <c r="B4" s="258" t="s">
        <v>375</v>
      </c>
      <c r="C4" s="257" t="s">
        <v>120</v>
      </c>
    </row>
    <row r="5" spans="1:3" ht="72">
      <c r="A5" s="259">
        <v>41136</v>
      </c>
      <c r="B5" s="122" t="s">
        <v>565</v>
      </c>
      <c r="C5" s="257" t="s">
        <v>120</v>
      </c>
    </row>
    <row r="6" spans="1:3" ht="18">
      <c r="A6" s="319">
        <v>41322</v>
      </c>
      <c r="B6" s="320" t="s">
        <v>592</v>
      </c>
      <c r="C6" s="321" t="s">
        <v>120</v>
      </c>
    </row>
    <row r="7" spans="1:3" ht="18">
      <c r="A7" s="319">
        <v>41322</v>
      </c>
      <c r="B7" s="320" t="s">
        <v>593</v>
      </c>
      <c r="C7" s="321" t="s">
        <v>120</v>
      </c>
    </row>
    <row r="8" spans="1:3" ht="18">
      <c r="A8" s="319">
        <v>41322</v>
      </c>
      <c r="B8" s="320" t="s">
        <v>595</v>
      </c>
      <c r="C8" s="321" t="s">
        <v>120</v>
      </c>
    </row>
    <row r="9" spans="1:3" ht="72">
      <c r="A9" s="319">
        <v>41322</v>
      </c>
      <c r="B9" s="122" t="s">
        <v>594</v>
      </c>
      <c r="C9" s="322" t="s">
        <v>120</v>
      </c>
    </row>
    <row r="10" spans="1:3" ht="36">
      <c r="A10" s="109">
        <v>41484</v>
      </c>
      <c r="B10" s="122" t="s">
        <v>596</v>
      </c>
      <c r="C10" s="322" t="s">
        <v>120</v>
      </c>
    </row>
    <row r="11" spans="1:3" ht="18">
      <c r="A11" s="109">
        <v>41484</v>
      </c>
      <c r="B11" s="108" t="s">
        <v>597</v>
      </c>
      <c r="C11" s="110" t="s">
        <v>120</v>
      </c>
    </row>
    <row r="12" spans="1:3" ht="18">
      <c r="A12" s="109">
        <v>41484</v>
      </c>
      <c r="B12" s="108" t="s">
        <v>632</v>
      </c>
      <c r="C12" s="110" t="s">
        <v>120</v>
      </c>
    </row>
    <row r="13" spans="1:3" ht="18">
      <c r="A13" s="399">
        <v>41484</v>
      </c>
      <c r="B13" s="320" t="s">
        <v>634</v>
      </c>
      <c r="C13" s="321" t="s">
        <v>120</v>
      </c>
    </row>
    <row r="14" spans="1:3" ht="72">
      <c r="A14" s="400">
        <v>41484</v>
      </c>
      <c r="B14" s="122" t="s">
        <v>633</v>
      </c>
      <c r="C14" s="322" t="s">
        <v>120</v>
      </c>
    </row>
    <row r="15" spans="1:3" ht="36">
      <c r="A15" s="399">
        <v>41514</v>
      </c>
      <c r="B15" s="108" t="s">
        <v>682</v>
      </c>
      <c r="C15" s="110" t="s">
        <v>120</v>
      </c>
    </row>
    <row r="16" spans="1:3" ht="36">
      <c r="A16" s="411">
        <v>41514</v>
      </c>
      <c r="B16" s="108" t="s">
        <v>683</v>
      </c>
      <c r="C16" s="412" t="s">
        <v>120</v>
      </c>
    </row>
    <row r="17" spans="1:3" ht="36">
      <c r="A17" s="411">
        <v>41514</v>
      </c>
      <c r="B17" s="108" t="s">
        <v>684</v>
      </c>
      <c r="C17" s="412" t="s">
        <v>120</v>
      </c>
    </row>
    <row r="18" spans="1:3" ht="36">
      <c r="A18" s="411">
        <v>41514</v>
      </c>
      <c r="B18" s="108" t="s">
        <v>686</v>
      </c>
      <c r="C18" s="412" t="s">
        <v>120</v>
      </c>
    </row>
    <row r="19" spans="1:3" ht="18">
      <c r="A19" s="411">
        <v>41514</v>
      </c>
      <c r="B19" s="320" t="s">
        <v>634</v>
      </c>
      <c r="C19" s="412" t="s">
        <v>120</v>
      </c>
    </row>
    <row r="20" spans="1:3" ht="72">
      <c r="A20" s="411">
        <v>41514</v>
      </c>
      <c r="B20" s="122" t="s">
        <v>685</v>
      </c>
      <c r="C20" s="410" t="s">
        <v>120</v>
      </c>
    </row>
    <row r="21" spans="1:3" ht="18">
      <c r="A21" s="109">
        <v>41600</v>
      </c>
      <c r="B21" s="108" t="s">
        <v>709</v>
      </c>
      <c r="C21" s="110" t="s">
        <v>120</v>
      </c>
    </row>
    <row r="22" spans="1:3" ht="54">
      <c r="A22" s="415">
        <v>41739</v>
      </c>
      <c r="B22" s="108" t="s">
        <v>710</v>
      </c>
      <c r="C22" s="417" t="s">
        <v>120</v>
      </c>
    </row>
    <row r="23" spans="1:4" ht="18">
      <c r="A23" s="418">
        <v>41941</v>
      </c>
      <c r="B23" s="419" t="s">
        <v>711</v>
      </c>
      <c r="C23" s="420" t="s">
        <v>120</v>
      </c>
      <c r="D23" s="421"/>
    </row>
    <row r="24" spans="1:3" ht="18">
      <c r="A24" s="415">
        <v>41947</v>
      </c>
      <c r="B24" s="416" t="s">
        <v>712</v>
      </c>
      <c r="C24" s="417"/>
    </row>
    <row r="25" spans="1:3" ht="36">
      <c r="A25" s="415">
        <v>41947</v>
      </c>
      <c r="B25" s="416" t="s">
        <v>713</v>
      </c>
      <c r="C25" s="417"/>
    </row>
    <row r="26" spans="1:3" ht="54">
      <c r="A26" s="415">
        <v>41947</v>
      </c>
      <c r="B26" s="416" t="s">
        <v>714</v>
      </c>
      <c r="C26" s="417" t="s">
        <v>120</v>
      </c>
    </row>
    <row r="27" spans="1:3" ht="36">
      <c r="A27" s="415">
        <v>41949</v>
      </c>
      <c r="B27" s="108" t="s">
        <v>729</v>
      </c>
      <c r="C27" s="417" t="s">
        <v>120</v>
      </c>
    </row>
    <row r="28" spans="1:3" ht="54">
      <c r="A28" s="422">
        <v>41949</v>
      </c>
      <c r="B28" s="108" t="s">
        <v>728</v>
      </c>
      <c r="C28" s="424" t="s">
        <v>120</v>
      </c>
    </row>
    <row r="29" spans="1:3" ht="18">
      <c r="A29" s="415">
        <v>41949</v>
      </c>
      <c r="B29" s="320" t="s">
        <v>595</v>
      </c>
      <c r="C29" s="110" t="s">
        <v>120</v>
      </c>
    </row>
    <row r="30" spans="1:3" ht="72">
      <c r="A30" s="437">
        <v>41949</v>
      </c>
      <c r="B30" s="122" t="s">
        <v>715</v>
      </c>
      <c r="C30" s="322" t="s">
        <v>120</v>
      </c>
    </row>
    <row r="31" spans="1:3" ht="18">
      <c r="A31" s="109"/>
      <c r="B31" s="108"/>
      <c r="C31" s="110"/>
    </row>
  </sheetData>
  <sheetProtection password="83AF" sheet="1" objects="1" scenarios="1" selectLockedCells="1" selectUnlockedCells="1"/>
  <printOptions horizontalCentered="1"/>
  <pageMargins left="0.5" right="0.5" top="1.25" bottom="0.75" header="0.75" footer="0.5"/>
  <pageSetup cellComments="asDisplayed" horizontalDpi="600" verticalDpi="600" orientation="portrait" r:id="rId2"/>
  <headerFooter alignWithMargins="0">
    <oddHeader>&amp;L&amp;"Trebuchet MS,Regular"&amp;12Calibration of Weight Carts&amp;R&amp;"Trebuchet MS,Regular"&amp;12WAMRF-010, Rev. 07, 11/6/2014</oddHeader>
    <oddFooter>&amp;L&amp;"Trebuchet MS,Regular"&amp;12&amp;F&amp;R&amp;"Trebuchet MS,Regular"&amp;12&amp;A Worksheet Page &amp;P of &amp;N</oddFooter>
  </headerFooter>
  <tableParts>
    <tablePart r:id="rId1"/>
  </tableParts>
</worksheet>
</file>

<file path=xl/worksheets/sheet3.xml><?xml version="1.0" encoding="utf-8"?>
<worksheet xmlns="http://schemas.openxmlformats.org/spreadsheetml/2006/main" xmlns:r="http://schemas.openxmlformats.org/officeDocument/2006/relationships">
  <sheetPr>
    <tabColor rgb="FFC00000"/>
  </sheetPr>
  <dimension ref="A1:A1"/>
  <sheetViews>
    <sheetView showGridLines="0" zoomScalePageLayoutView="0" workbookViewId="0" topLeftCell="A1">
      <selection activeCell="A1" sqref="A1"/>
    </sheetView>
  </sheetViews>
  <sheetFormatPr defaultColWidth="0" defaultRowHeight="12.75" zeroHeight="1"/>
  <cols>
    <col min="1" max="1" width="3.7109375" style="0" customWidth="1"/>
    <col min="2" max="11" width="9.140625" style="0" customWidth="1"/>
    <col min="12" max="16384" width="9.140625" style="0" hidden="1" customWidth="1"/>
  </cols>
  <sheetData>
    <row r="1" ht="12.75">
      <c r="A1" s="260"/>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password="83AF" sheet="1" objects="1" scenarios="1"/>
  <printOptions horizontalCentered="1"/>
  <pageMargins left="0.5" right="0.5" top="1.25" bottom="0.75" header="0.75" footer="0.5"/>
  <pageSetup cellComments="asDisplayed" horizontalDpi="600" verticalDpi="600" orientation="portrait" r:id="rId5"/>
  <headerFooter alignWithMargins="0">
    <oddHeader>&amp;L&amp;"Trebuchet MS,Regular"&amp;12Calibration of Weight Carts&amp;R&amp;"Trebuchet MS,Regular"&amp;12WAMRF-010, Rev. 07, 11/6/2014</oddHeader>
    <oddFooter>&amp;L&amp;"Trebuchet MS,Regular"&amp;12&amp;F&amp;R&amp;"Trebuchet MS,Regular"&amp;12&amp;A Worksheet Page &amp;P of &amp;N</oddFooter>
  </headerFooter>
  <drawing r:id="rId4"/>
  <legacyDrawing r:id="rId3"/>
  <oleObjects>
    <oleObject progId="AcroExch.Document.7" shapeId="974655" r:id="rId2"/>
  </oleObjects>
</worksheet>
</file>

<file path=xl/worksheets/sheet4.xml><?xml version="1.0" encoding="utf-8"?>
<worksheet xmlns="http://schemas.openxmlformats.org/spreadsheetml/2006/main" xmlns:r="http://schemas.openxmlformats.org/officeDocument/2006/relationships">
  <sheetPr>
    <tabColor rgb="FF00B0F0"/>
  </sheetPr>
  <dimension ref="A1:G128"/>
  <sheetViews>
    <sheetView showGridLines="0" showZeros="0" tabSelected="1" showOutlineSymbols="0" zoomScalePageLayoutView="0" workbookViewId="0" topLeftCell="A1">
      <selection activeCell="A1" sqref="A1:B1"/>
    </sheetView>
  </sheetViews>
  <sheetFormatPr defaultColWidth="0" defaultRowHeight="12.75"/>
  <cols>
    <col min="1" max="1" width="18.57421875" style="107" customWidth="1"/>
    <col min="2" max="2" width="60.7109375" style="104" customWidth="1"/>
    <col min="3" max="3" width="3.7109375" style="104" customWidth="1"/>
    <col min="4" max="7" width="12.57421875" style="104" hidden="1" customWidth="1"/>
    <col min="8" max="9" width="12.421875" style="104" hidden="1" customWidth="1"/>
    <col min="10" max="16384" width="9.140625" style="104" hidden="1" customWidth="1"/>
  </cols>
  <sheetData>
    <row r="1" spans="1:6" ht="20.25" thickBot="1">
      <c r="A1" s="460" t="s">
        <v>247</v>
      </c>
      <c r="B1" s="460"/>
      <c r="D1" s="105"/>
      <c r="E1" s="105"/>
      <c r="F1" s="105"/>
    </row>
    <row r="2" spans="1:7" ht="18">
      <c r="A2" s="110" t="s">
        <v>125</v>
      </c>
      <c r="B2" s="118" t="s">
        <v>14</v>
      </c>
      <c r="C2" s="105"/>
      <c r="D2" s="105"/>
      <c r="E2" s="105"/>
      <c r="F2" s="105"/>
      <c r="G2" s="106"/>
    </row>
    <row r="3" spans="1:7" ht="18">
      <c r="A3" s="119">
        <v>1</v>
      </c>
      <c r="B3" s="108" t="s">
        <v>126</v>
      </c>
      <c r="C3" s="105"/>
      <c r="D3" s="105"/>
      <c r="E3" s="105"/>
      <c r="F3" s="105"/>
      <c r="G3" s="106"/>
    </row>
    <row r="4" spans="1:7" ht="72">
      <c r="A4" s="119">
        <v>2</v>
      </c>
      <c r="B4" s="311" t="s">
        <v>561</v>
      </c>
      <c r="C4" s="105"/>
      <c r="D4" s="105"/>
      <c r="E4" s="105"/>
      <c r="F4" s="105"/>
      <c r="G4" s="106"/>
    </row>
    <row r="5" spans="1:2" ht="36">
      <c r="A5" s="119">
        <v>3</v>
      </c>
      <c r="B5" s="108" t="s">
        <v>261</v>
      </c>
    </row>
    <row r="6" spans="1:6" ht="36">
      <c r="A6" s="123">
        <v>4</v>
      </c>
      <c r="B6" s="108" t="s">
        <v>214</v>
      </c>
      <c r="D6" s="105"/>
      <c r="E6" s="105"/>
      <c r="F6" s="105"/>
    </row>
    <row r="7" spans="1:7" ht="108">
      <c r="A7" s="425">
        <v>5</v>
      </c>
      <c r="B7" s="423" t="s">
        <v>716</v>
      </c>
      <c r="C7" s="105"/>
      <c r="D7" s="105"/>
      <c r="E7" s="105"/>
      <c r="F7" s="105"/>
      <c r="G7" s="106"/>
    </row>
    <row r="8" spans="1:7" ht="18">
      <c r="A8" s="425"/>
      <c r="B8" s="423"/>
      <c r="C8" s="105"/>
      <c r="D8" s="105"/>
      <c r="E8" s="105"/>
      <c r="F8" s="105"/>
      <c r="G8" s="106"/>
    </row>
    <row r="9" spans="1:2" ht="19.5">
      <c r="A9" s="461" t="s">
        <v>129</v>
      </c>
      <c r="B9" s="461"/>
    </row>
    <row r="10" spans="1:2" ht="18">
      <c r="A10" s="118" t="s">
        <v>127</v>
      </c>
      <c r="B10" s="118" t="s">
        <v>128</v>
      </c>
    </row>
    <row r="11" spans="1:2" ht="18">
      <c r="A11" s="120" t="s">
        <v>695</v>
      </c>
      <c r="B11" s="108" t="s">
        <v>465</v>
      </c>
    </row>
    <row r="12" spans="1:2" s="107" customFormat="1" ht="15.75" customHeight="1">
      <c r="A12" s="121" t="s">
        <v>696</v>
      </c>
      <c r="B12" s="122" t="s">
        <v>466</v>
      </c>
    </row>
    <row r="13" spans="1:2" ht="18">
      <c r="A13" s="121" t="s">
        <v>697</v>
      </c>
      <c r="B13" s="122" t="s">
        <v>467</v>
      </c>
    </row>
    <row r="14" spans="1:2" ht="18">
      <c r="A14" s="121" t="s">
        <v>698</v>
      </c>
      <c r="B14" s="122" t="s">
        <v>468</v>
      </c>
    </row>
    <row r="15" spans="1:2" ht="18">
      <c r="A15" s="121" t="s">
        <v>580</v>
      </c>
      <c r="B15" s="122" t="s">
        <v>472</v>
      </c>
    </row>
    <row r="16" spans="1:2" ht="18">
      <c r="A16" s="121" t="s">
        <v>581</v>
      </c>
      <c r="B16" s="122" t="s">
        <v>582</v>
      </c>
    </row>
    <row r="17" spans="1:2" ht="18">
      <c r="A17" s="121" t="s">
        <v>583</v>
      </c>
      <c r="B17" s="122" t="s">
        <v>584</v>
      </c>
    </row>
    <row r="18" spans="1:2" ht="18">
      <c r="A18" s="121" t="s">
        <v>130</v>
      </c>
      <c r="B18" s="122" t="s">
        <v>720</v>
      </c>
    </row>
    <row r="19" spans="1:2" ht="18">
      <c r="A19" s="121" t="s">
        <v>721</v>
      </c>
      <c r="B19" s="122" t="s">
        <v>722</v>
      </c>
    </row>
    <row r="20" spans="1:2" ht="18">
      <c r="A20" s="121" t="s">
        <v>132</v>
      </c>
      <c r="B20" s="122" t="s">
        <v>469</v>
      </c>
    </row>
    <row r="21" spans="1:2" ht="18">
      <c r="A21" s="121" t="s">
        <v>635</v>
      </c>
      <c r="B21" s="122" t="s">
        <v>636</v>
      </c>
    </row>
    <row r="22" spans="1:2" ht="18">
      <c r="A22" s="121" t="s">
        <v>637</v>
      </c>
      <c r="B22" s="122" t="s">
        <v>470</v>
      </c>
    </row>
    <row r="23" spans="1:2" ht="18">
      <c r="A23" s="121" t="s">
        <v>638</v>
      </c>
      <c r="B23" s="122" t="s">
        <v>639</v>
      </c>
    </row>
    <row r="24" spans="1:2" ht="18">
      <c r="A24" s="121" t="s">
        <v>699</v>
      </c>
      <c r="B24" s="122" t="s">
        <v>471</v>
      </c>
    </row>
    <row r="25" spans="1:2" ht="18">
      <c r="A25" s="121" t="s">
        <v>133</v>
      </c>
      <c r="B25" s="122" t="s">
        <v>585</v>
      </c>
    </row>
    <row r="26" spans="1:2" ht="18">
      <c r="A26" s="121" t="s">
        <v>134</v>
      </c>
      <c r="B26" s="122" t="s">
        <v>131</v>
      </c>
    </row>
    <row r="27" spans="1:2" ht="18">
      <c r="A27" s="121" t="s">
        <v>135</v>
      </c>
      <c r="B27" s="122" t="s">
        <v>548</v>
      </c>
    </row>
    <row r="28" spans="1:2" ht="18">
      <c r="A28" s="121" t="s">
        <v>136</v>
      </c>
      <c r="B28" s="122" t="s">
        <v>640</v>
      </c>
    </row>
    <row r="29" spans="1:2" ht="18">
      <c r="A29" s="121" t="s">
        <v>137</v>
      </c>
      <c r="B29" s="122" t="s">
        <v>138</v>
      </c>
    </row>
    <row r="30" spans="1:2" ht="18">
      <c r="A30" s="121" t="s">
        <v>14</v>
      </c>
      <c r="B30" s="122" t="s">
        <v>139</v>
      </c>
    </row>
    <row r="31" spans="1:2" ht="18">
      <c r="A31" s="121" t="s">
        <v>641</v>
      </c>
      <c r="B31" s="122" t="s">
        <v>642</v>
      </c>
    </row>
    <row r="32" spans="1:2" ht="18">
      <c r="A32" s="121" t="s">
        <v>643</v>
      </c>
      <c r="B32" s="122" t="s">
        <v>644</v>
      </c>
    </row>
    <row r="33" spans="1:2" ht="18">
      <c r="A33" s="121" t="s">
        <v>645</v>
      </c>
      <c r="B33" s="122" t="s">
        <v>646</v>
      </c>
    </row>
    <row r="34" spans="1:2" ht="18">
      <c r="A34" s="121" t="s">
        <v>84</v>
      </c>
      <c r="B34" s="122" t="s">
        <v>140</v>
      </c>
    </row>
    <row r="35" spans="1:2" ht="18">
      <c r="A35" s="121" t="s">
        <v>141</v>
      </c>
      <c r="B35" s="122" t="s">
        <v>475</v>
      </c>
    </row>
    <row r="36" spans="1:2" ht="18">
      <c r="A36" s="121" t="s">
        <v>142</v>
      </c>
      <c r="B36" s="122" t="s">
        <v>476</v>
      </c>
    </row>
    <row r="37" spans="1:2" ht="18">
      <c r="A37" s="121" t="s">
        <v>143</v>
      </c>
      <c r="B37" s="122" t="s">
        <v>148</v>
      </c>
    </row>
    <row r="38" spans="1:2" ht="18">
      <c r="A38" s="121" t="s">
        <v>76</v>
      </c>
      <c r="B38" s="122" t="s">
        <v>647</v>
      </c>
    </row>
    <row r="39" spans="1:2" ht="18">
      <c r="A39" s="121" t="s">
        <v>648</v>
      </c>
      <c r="B39" s="122" t="s">
        <v>549</v>
      </c>
    </row>
    <row r="40" spans="1:2" ht="18">
      <c r="A40" s="121" t="s">
        <v>144</v>
      </c>
      <c r="B40" s="122" t="s">
        <v>649</v>
      </c>
    </row>
    <row r="41" spans="1:2" ht="18">
      <c r="A41" s="121" t="s">
        <v>650</v>
      </c>
      <c r="B41" s="122" t="s">
        <v>651</v>
      </c>
    </row>
    <row r="42" spans="1:2" ht="18">
      <c r="A42" s="121" t="s">
        <v>145</v>
      </c>
      <c r="B42" s="122" t="s">
        <v>146</v>
      </c>
    </row>
    <row r="43" spans="1:2" ht="18">
      <c r="A43" s="121" t="s">
        <v>700</v>
      </c>
      <c r="B43" s="122" t="s">
        <v>182</v>
      </c>
    </row>
    <row r="44" spans="1:2" ht="18">
      <c r="A44" s="121" t="s">
        <v>147</v>
      </c>
      <c r="B44" s="122" t="s">
        <v>251</v>
      </c>
    </row>
    <row r="45" spans="1:2" ht="18">
      <c r="A45" s="121" t="s">
        <v>149</v>
      </c>
      <c r="B45" s="122" t="s">
        <v>652</v>
      </c>
    </row>
    <row r="46" spans="1:2" ht="18">
      <c r="A46" s="121" t="s">
        <v>150</v>
      </c>
      <c r="B46" s="122" t="s">
        <v>550</v>
      </c>
    </row>
    <row r="47" spans="1:2" ht="18">
      <c r="A47" s="121" t="s">
        <v>151</v>
      </c>
      <c r="B47" s="122" t="s">
        <v>477</v>
      </c>
    </row>
    <row r="48" spans="1:2" ht="18">
      <c r="A48" s="121" t="s">
        <v>152</v>
      </c>
      <c r="B48" s="122" t="s">
        <v>478</v>
      </c>
    </row>
    <row r="49" spans="1:2" ht="18">
      <c r="A49" s="121" t="s">
        <v>153</v>
      </c>
      <c r="B49" s="122" t="s">
        <v>653</v>
      </c>
    </row>
    <row r="50" spans="1:2" ht="18">
      <c r="A50" s="121" t="s">
        <v>154</v>
      </c>
      <c r="B50" s="122" t="s">
        <v>551</v>
      </c>
    </row>
    <row r="51" spans="1:2" ht="18">
      <c r="A51" s="121" t="s">
        <v>155</v>
      </c>
      <c r="B51" s="122" t="s">
        <v>479</v>
      </c>
    </row>
    <row r="52" spans="1:2" ht="18">
      <c r="A52" s="121" t="s">
        <v>156</v>
      </c>
      <c r="B52" s="122" t="s">
        <v>480</v>
      </c>
    </row>
    <row r="53" spans="1:2" ht="18">
      <c r="A53" s="121" t="s">
        <v>481</v>
      </c>
      <c r="B53" s="122" t="s">
        <v>654</v>
      </c>
    </row>
    <row r="54" spans="1:2" ht="18">
      <c r="A54" s="121" t="s">
        <v>482</v>
      </c>
      <c r="B54" s="122" t="s">
        <v>552</v>
      </c>
    </row>
    <row r="55" spans="1:2" ht="18">
      <c r="A55" s="121" t="s">
        <v>483</v>
      </c>
      <c r="B55" s="122" t="s">
        <v>252</v>
      </c>
    </row>
    <row r="56" spans="1:2" ht="18">
      <c r="A56" s="121" t="s">
        <v>485</v>
      </c>
      <c r="B56" s="122" t="s">
        <v>253</v>
      </c>
    </row>
    <row r="57" spans="1:2" ht="18">
      <c r="A57" s="121" t="s">
        <v>157</v>
      </c>
      <c r="B57" s="122" t="s">
        <v>655</v>
      </c>
    </row>
    <row r="58" spans="1:2" ht="18">
      <c r="A58" s="121" t="s">
        <v>159</v>
      </c>
      <c r="B58" s="122" t="s">
        <v>486</v>
      </c>
    </row>
    <row r="59" spans="1:2" ht="18">
      <c r="A59" s="121" t="s">
        <v>160</v>
      </c>
      <c r="B59" s="122" t="s">
        <v>487</v>
      </c>
    </row>
    <row r="60" spans="1:2" ht="18">
      <c r="A60" s="121" t="s">
        <v>161</v>
      </c>
      <c r="B60" s="122" t="s">
        <v>158</v>
      </c>
    </row>
    <row r="61" spans="1:2" ht="18">
      <c r="A61" s="121" t="s">
        <v>162</v>
      </c>
      <c r="B61" s="122" t="s">
        <v>656</v>
      </c>
    </row>
    <row r="62" spans="1:2" ht="18">
      <c r="A62" s="121" t="s">
        <v>163</v>
      </c>
      <c r="B62" s="122" t="s">
        <v>173</v>
      </c>
    </row>
    <row r="63" spans="1:2" ht="18">
      <c r="A63" s="121" t="s">
        <v>164</v>
      </c>
      <c r="B63" s="122" t="s">
        <v>254</v>
      </c>
    </row>
    <row r="64" spans="1:2" ht="18">
      <c r="A64" s="121" t="s">
        <v>165</v>
      </c>
      <c r="B64" s="122" t="s">
        <v>256</v>
      </c>
    </row>
    <row r="65" spans="1:2" ht="18">
      <c r="A65" s="121" t="s">
        <v>488</v>
      </c>
      <c r="B65" s="122" t="s">
        <v>657</v>
      </c>
    </row>
    <row r="66" spans="1:2" ht="18">
      <c r="A66" s="121" t="s">
        <v>489</v>
      </c>
      <c r="B66" s="122" t="s">
        <v>166</v>
      </c>
    </row>
    <row r="67" spans="1:2" ht="18">
      <c r="A67" s="121" t="s">
        <v>490</v>
      </c>
      <c r="B67" s="122" t="s">
        <v>174</v>
      </c>
    </row>
    <row r="68" spans="1:2" ht="18">
      <c r="A68" s="121" t="s">
        <v>491</v>
      </c>
      <c r="B68" s="122" t="s">
        <v>255</v>
      </c>
    </row>
    <row r="69" spans="1:2" ht="18">
      <c r="A69" s="121" t="s">
        <v>167</v>
      </c>
      <c r="B69" s="122" t="s">
        <v>492</v>
      </c>
    </row>
    <row r="70" spans="1:2" ht="18">
      <c r="A70" s="121" t="s">
        <v>169</v>
      </c>
      <c r="B70" s="122" t="s">
        <v>658</v>
      </c>
    </row>
    <row r="71" spans="1:2" ht="18">
      <c r="A71" s="121" t="s">
        <v>170</v>
      </c>
      <c r="B71" s="122" t="s">
        <v>659</v>
      </c>
    </row>
    <row r="72" spans="1:2" ht="18">
      <c r="A72" s="121" t="s">
        <v>171</v>
      </c>
      <c r="B72" s="122" t="s">
        <v>484</v>
      </c>
    </row>
    <row r="73" spans="1:2" ht="18">
      <c r="A73" s="121" t="s">
        <v>172</v>
      </c>
      <c r="B73" s="122" t="s">
        <v>257</v>
      </c>
    </row>
    <row r="74" spans="1:2" ht="18">
      <c r="A74" s="121" t="s">
        <v>175</v>
      </c>
      <c r="B74" s="122" t="s">
        <v>556</v>
      </c>
    </row>
    <row r="75" spans="1:2" ht="18">
      <c r="A75" s="121" t="s">
        <v>586</v>
      </c>
      <c r="B75" s="122" t="s">
        <v>587</v>
      </c>
    </row>
    <row r="76" spans="1:2" ht="18">
      <c r="A76" s="121" t="s">
        <v>701</v>
      </c>
      <c r="B76" s="122" t="s">
        <v>176</v>
      </c>
    </row>
    <row r="77" spans="1:2" ht="18">
      <c r="A77" s="121" t="s">
        <v>2</v>
      </c>
      <c r="B77" s="122" t="s">
        <v>177</v>
      </c>
    </row>
    <row r="78" spans="1:2" ht="18">
      <c r="A78" s="121" t="s">
        <v>702</v>
      </c>
      <c r="B78" s="122" t="s">
        <v>178</v>
      </c>
    </row>
    <row r="79" spans="1:2" ht="18">
      <c r="A79" s="121" t="s">
        <v>258</v>
      </c>
      <c r="B79" s="122" t="s">
        <v>660</v>
      </c>
    </row>
    <row r="80" spans="1:2" ht="18">
      <c r="A80" s="121" t="s">
        <v>179</v>
      </c>
      <c r="B80" s="122" t="s">
        <v>559</v>
      </c>
    </row>
    <row r="81" spans="1:2" ht="18">
      <c r="A81" s="121" t="s">
        <v>180</v>
      </c>
      <c r="B81" s="122" t="s">
        <v>661</v>
      </c>
    </row>
    <row r="82" spans="1:2" ht="18">
      <c r="A82" s="121" t="s">
        <v>181</v>
      </c>
      <c r="B82" s="122" t="s">
        <v>250</v>
      </c>
    </row>
    <row r="83" spans="1:2" ht="18">
      <c r="A83" s="121" t="s">
        <v>493</v>
      </c>
      <c r="B83" s="122" t="s">
        <v>494</v>
      </c>
    </row>
    <row r="84" spans="1:2" ht="18">
      <c r="A84" s="121" t="s">
        <v>703</v>
      </c>
      <c r="B84" s="122" t="s">
        <v>538</v>
      </c>
    </row>
    <row r="85" spans="1:2" ht="18">
      <c r="A85" s="121" t="s">
        <v>718</v>
      </c>
      <c r="B85" s="122" t="s">
        <v>723</v>
      </c>
    </row>
    <row r="86" spans="1:2" ht="18">
      <c r="A86" s="121" t="s">
        <v>183</v>
      </c>
      <c r="B86" s="122" t="s">
        <v>259</v>
      </c>
    </row>
    <row r="87" spans="1:2" ht="18">
      <c r="A87" s="121" t="s">
        <v>184</v>
      </c>
      <c r="B87" s="122" t="s">
        <v>554</v>
      </c>
    </row>
    <row r="88" spans="1:2" ht="18">
      <c r="A88" s="121" t="s">
        <v>662</v>
      </c>
      <c r="B88" s="122" t="s">
        <v>553</v>
      </c>
    </row>
    <row r="89" spans="1:2" ht="18">
      <c r="A89" s="121" t="s">
        <v>555</v>
      </c>
      <c r="B89" s="122" t="s">
        <v>663</v>
      </c>
    </row>
    <row r="90" spans="1:2" ht="18">
      <c r="A90" s="121" t="s">
        <v>185</v>
      </c>
      <c r="B90" s="122" t="s">
        <v>186</v>
      </c>
    </row>
    <row r="91" spans="1:2" ht="18">
      <c r="A91" s="121" t="s">
        <v>187</v>
      </c>
      <c r="B91" s="122" t="s">
        <v>495</v>
      </c>
    </row>
    <row r="92" spans="1:2" ht="18">
      <c r="A92" s="121" t="s">
        <v>664</v>
      </c>
      <c r="B92" s="122" t="s">
        <v>474</v>
      </c>
    </row>
    <row r="93" spans="1:2" ht="18">
      <c r="A93" s="121" t="s">
        <v>188</v>
      </c>
      <c r="B93" s="122" t="s">
        <v>496</v>
      </c>
    </row>
    <row r="94" spans="1:2" ht="18">
      <c r="A94" s="121" t="s">
        <v>189</v>
      </c>
      <c r="B94" s="122" t="s">
        <v>496</v>
      </c>
    </row>
    <row r="95" spans="1:2" ht="18">
      <c r="A95" s="121" t="s">
        <v>190</v>
      </c>
      <c r="B95" s="122" t="s">
        <v>665</v>
      </c>
    </row>
    <row r="96" spans="1:2" ht="18">
      <c r="A96" s="121" t="s">
        <v>666</v>
      </c>
      <c r="B96" s="122" t="s">
        <v>667</v>
      </c>
    </row>
    <row r="97" spans="1:2" ht="18">
      <c r="A97" s="121" t="s">
        <v>191</v>
      </c>
      <c r="B97" s="122" t="s">
        <v>168</v>
      </c>
    </row>
    <row r="98" spans="1:2" ht="18">
      <c r="A98" s="121" t="s">
        <v>193</v>
      </c>
      <c r="B98" s="122" t="s">
        <v>668</v>
      </c>
    </row>
    <row r="99" spans="1:2" ht="18">
      <c r="A99" s="121" t="s">
        <v>194</v>
      </c>
      <c r="B99" s="122" t="s">
        <v>669</v>
      </c>
    </row>
    <row r="100" spans="1:2" ht="18">
      <c r="A100" s="121" t="s">
        <v>195</v>
      </c>
      <c r="B100" s="122" t="s">
        <v>670</v>
      </c>
    </row>
    <row r="101" spans="1:2" ht="18">
      <c r="A101" s="121" t="s">
        <v>196</v>
      </c>
      <c r="B101" s="122" t="s">
        <v>671</v>
      </c>
    </row>
    <row r="102" spans="1:2" ht="18">
      <c r="A102" s="121" t="s">
        <v>197</v>
      </c>
      <c r="B102" s="122" t="s">
        <v>672</v>
      </c>
    </row>
    <row r="103" spans="1:2" ht="18">
      <c r="A103" s="121" t="s">
        <v>588</v>
      </c>
      <c r="B103" s="122" t="s">
        <v>589</v>
      </c>
    </row>
    <row r="104" spans="1:2" ht="18">
      <c r="A104" s="121" t="s">
        <v>198</v>
      </c>
      <c r="B104" s="122" t="s">
        <v>498</v>
      </c>
    </row>
    <row r="105" spans="1:2" ht="18">
      <c r="A105" s="121" t="s">
        <v>260</v>
      </c>
      <c r="B105" s="122" t="s">
        <v>499</v>
      </c>
    </row>
    <row r="106" spans="1:2" ht="18">
      <c r="A106" s="121" t="s">
        <v>199</v>
      </c>
      <c r="B106" s="122" t="s">
        <v>500</v>
      </c>
    </row>
    <row r="107" spans="1:2" ht="18">
      <c r="A107" s="121" t="s">
        <v>200</v>
      </c>
      <c r="B107" s="122" t="s">
        <v>249</v>
      </c>
    </row>
    <row r="108" spans="1:2" ht="18">
      <c r="A108" s="121" t="s">
        <v>201</v>
      </c>
      <c r="B108" s="122" t="s">
        <v>371</v>
      </c>
    </row>
    <row r="109" spans="1:2" ht="18">
      <c r="A109" s="121" t="s">
        <v>83</v>
      </c>
      <c r="B109" s="122" t="s">
        <v>501</v>
      </c>
    </row>
    <row r="110" spans="1:2" ht="18">
      <c r="A110" s="121" t="s">
        <v>77</v>
      </c>
      <c r="B110" s="122" t="s">
        <v>192</v>
      </c>
    </row>
    <row r="111" spans="1:2" ht="18">
      <c r="A111" s="121" t="s">
        <v>202</v>
      </c>
      <c r="B111" s="122" t="s">
        <v>673</v>
      </c>
    </row>
    <row r="112" spans="1:2" ht="18">
      <c r="A112" s="121" t="s">
        <v>203</v>
      </c>
      <c r="B112" s="122" t="s">
        <v>674</v>
      </c>
    </row>
    <row r="113" spans="1:2" ht="18">
      <c r="A113" s="121" t="s">
        <v>204</v>
      </c>
      <c r="B113" s="122" t="s">
        <v>675</v>
      </c>
    </row>
    <row r="114" spans="1:2" ht="18">
      <c r="A114" s="121" t="s">
        <v>205</v>
      </c>
      <c r="B114" s="122" t="s">
        <v>676</v>
      </c>
    </row>
    <row r="115" spans="1:2" ht="18">
      <c r="A115" s="121" t="s">
        <v>206</v>
      </c>
      <c r="B115" s="122" t="s">
        <v>497</v>
      </c>
    </row>
    <row r="116" spans="1:2" ht="18">
      <c r="A116" s="302" t="s">
        <v>590</v>
      </c>
      <c r="B116" s="303" t="s">
        <v>591</v>
      </c>
    </row>
    <row r="117" spans="1:2" ht="18">
      <c r="A117" s="121" t="s">
        <v>207</v>
      </c>
      <c r="B117" s="122" t="s">
        <v>557</v>
      </c>
    </row>
    <row r="118" spans="1:2" ht="18">
      <c r="A118" s="121" t="s">
        <v>502</v>
      </c>
      <c r="B118" s="122" t="s">
        <v>558</v>
      </c>
    </row>
    <row r="119" spans="1:2" ht="18">
      <c r="A119" s="121" t="s">
        <v>208</v>
      </c>
      <c r="B119" s="122" t="s">
        <v>677</v>
      </c>
    </row>
    <row r="120" spans="1:2" ht="18">
      <c r="A120" s="121" t="s">
        <v>504</v>
      </c>
      <c r="B120" s="122" t="s">
        <v>678</v>
      </c>
    </row>
    <row r="121" spans="1:2" ht="18">
      <c r="A121" s="121" t="s">
        <v>209</v>
      </c>
      <c r="B121" s="122" t="s">
        <v>503</v>
      </c>
    </row>
    <row r="122" spans="1:2" ht="18">
      <c r="A122" s="121" t="s">
        <v>506</v>
      </c>
      <c r="B122" s="122" t="s">
        <v>505</v>
      </c>
    </row>
    <row r="123" spans="1:2" ht="18">
      <c r="A123" s="121" t="s">
        <v>210</v>
      </c>
      <c r="B123" s="122" t="s">
        <v>248</v>
      </c>
    </row>
    <row r="124" spans="1:2" ht="18">
      <c r="A124" s="401" t="s">
        <v>211</v>
      </c>
      <c r="B124" s="402" t="s">
        <v>560</v>
      </c>
    </row>
    <row r="125" spans="1:2" ht="18">
      <c r="A125" s="401" t="s">
        <v>212</v>
      </c>
      <c r="B125" s="402" t="s">
        <v>679</v>
      </c>
    </row>
    <row r="126" spans="1:2" ht="18">
      <c r="A126" s="401" t="s">
        <v>680</v>
      </c>
      <c r="B126" s="402" t="s">
        <v>681</v>
      </c>
    </row>
    <row r="127" spans="1:2" ht="18">
      <c r="A127" s="121" t="s">
        <v>507</v>
      </c>
      <c r="B127" s="122" t="s">
        <v>508</v>
      </c>
    </row>
    <row r="128" spans="1:2" ht="18">
      <c r="A128" s="121" t="s">
        <v>213</v>
      </c>
      <c r="B128" s="122" t="s">
        <v>509</v>
      </c>
    </row>
  </sheetData>
  <sheetProtection password="83AF" sheet="1" objects="1" scenarios="1" selectLockedCells="1" selectUnlockedCells="1"/>
  <mergeCells count="2">
    <mergeCell ref="A1:B1"/>
    <mergeCell ref="A9:B9"/>
  </mergeCells>
  <printOptions horizontalCentered="1"/>
  <pageMargins left="0.5" right="0.5" top="1.25" bottom="0.75" header="0.75" footer="0.5"/>
  <pageSetup cellComments="asDisplayed" horizontalDpi="600" verticalDpi="600" orientation="portrait" r:id="rId3"/>
  <headerFooter alignWithMargins="0">
    <oddHeader>&amp;L&amp;"Trebuchet MS,Regular"&amp;12Calibration of Weight Carts&amp;R&amp;"Trebuchet MS,Regular"&amp;12WAMRF-010, Rev. 07, 11/6/2014</oddHeader>
    <oddFooter>&amp;L&amp;"Trebuchet MS,Regular"&amp;12&amp;F&amp;R&amp;"Trebuchet MS,Regular"&amp;12&amp;A Worksheet Page &amp;P of &amp;N</oddFooter>
  </headerFooter>
  <tableParts>
    <tablePart r:id="rId2"/>
    <tablePart r:id="rId1"/>
  </tableParts>
</worksheet>
</file>

<file path=xl/worksheets/sheet5.xml><?xml version="1.0" encoding="utf-8"?>
<worksheet xmlns="http://schemas.openxmlformats.org/spreadsheetml/2006/main" xmlns:r="http://schemas.openxmlformats.org/officeDocument/2006/relationships">
  <sheetPr>
    <tabColor indexed="13"/>
  </sheetPr>
  <dimension ref="A5:U90"/>
  <sheetViews>
    <sheetView showGridLines="0" zoomScalePageLayoutView="0" workbookViewId="0" topLeftCell="A1">
      <selection activeCell="A1" sqref="A1"/>
    </sheetView>
  </sheetViews>
  <sheetFormatPr defaultColWidth="0" defaultRowHeight="12.75" zeroHeight="1"/>
  <cols>
    <col min="1" max="7" width="13.28125" style="59" customWidth="1"/>
    <col min="8" max="8" width="3.140625" style="59" customWidth="1"/>
    <col min="9" max="10" width="12.57421875" style="59" hidden="1" customWidth="1"/>
    <col min="11" max="16384" width="0" style="59" hidden="1" customWidth="1"/>
  </cols>
  <sheetData>
    <row r="1" s="38" customFormat="1" ht="15.75"/>
    <row r="2" s="38" customFormat="1" ht="15.75"/>
    <row r="3" s="38" customFormat="1" ht="15.75"/>
    <row r="4" s="38" customFormat="1" ht="15.75"/>
    <row r="5" s="38" customFormat="1" ht="15.75">
      <c r="D5" s="52"/>
    </row>
    <row r="6" s="38" customFormat="1" ht="18">
      <c r="D6" s="53"/>
    </row>
    <row r="7" s="38" customFormat="1" ht="16.5">
      <c r="D7" s="55"/>
    </row>
    <row r="8" s="38" customFormat="1" ht="15.75">
      <c r="D8" s="56"/>
    </row>
    <row r="9" s="38" customFormat="1" ht="15.75">
      <c r="D9" s="57"/>
    </row>
    <row r="10" ht="18"/>
    <row r="11" ht="23.25">
      <c r="D11" s="69" t="s">
        <v>86</v>
      </c>
    </row>
    <row r="12" ht="18"/>
    <row r="13" ht="18">
      <c r="D13" s="94" t="s">
        <v>87</v>
      </c>
    </row>
    <row r="14" spans="1:7" ht="18" customHeight="1">
      <c r="A14" s="99"/>
      <c r="B14" s="99"/>
      <c r="C14" s="100"/>
      <c r="D14" s="100">
        <f>IF('Data Entry'!A4="","",'Data Entry'!A4)</f>
      </c>
      <c r="E14" s="100"/>
      <c r="F14" s="99"/>
      <c r="G14" s="99"/>
    </row>
    <row r="15" spans="1:7" ht="18" customHeight="1">
      <c r="A15" s="99"/>
      <c r="B15" s="99"/>
      <c r="C15" s="100"/>
      <c r="D15" s="100">
        <f>IF('Data Entry'!A5="","",'Data Entry'!A5)</f>
      </c>
      <c r="E15" s="100"/>
      <c r="F15" s="99"/>
      <c r="G15" s="99"/>
    </row>
    <row r="16" spans="1:7" ht="18" customHeight="1">
      <c r="A16" s="99"/>
      <c r="B16" s="99"/>
      <c r="C16" s="100"/>
      <c r="D16" s="100">
        <f>IF('Data Entry'!A6="","",'Data Entry'!A6)</f>
      </c>
      <c r="E16" s="100"/>
      <c r="F16" s="99"/>
      <c r="G16" s="99"/>
    </row>
    <row r="17" spans="1:7" ht="18" customHeight="1">
      <c r="A17" s="99"/>
      <c r="B17" s="99"/>
      <c r="C17" s="100"/>
      <c r="D17" s="100">
        <f>IF('Data Entry'!A7="","",'Data Entry'!A7)</f>
      </c>
      <c r="E17" s="100"/>
      <c r="F17" s="99"/>
      <c r="G17" s="99"/>
    </row>
    <row r="18" ht="12" customHeight="1">
      <c r="D18" s="13"/>
    </row>
    <row r="19" s="38" customFormat="1" ht="16.5">
      <c r="D19" s="95" t="s">
        <v>90</v>
      </c>
    </row>
    <row r="20" s="38" customFormat="1" ht="18">
      <c r="D20" s="58">
        <f>IF(POC="","",POC)</f>
      </c>
    </row>
    <row r="21" s="38" customFormat="1" ht="18">
      <c r="D21" s="58">
        <f>IF(POC_Phone="","","Ph. "&amp;POC_Phone)</f>
      </c>
    </row>
    <row r="22" ht="12" customHeight="1">
      <c r="D22" s="13"/>
    </row>
    <row r="23" s="38" customFormat="1" ht="16.5">
      <c r="D23" s="95" t="s">
        <v>91</v>
      </c>
    </row>
    <row r="24" ht="18">
      <c r="D24" s="67">
        <f>IF(PO_No="","",PO_No)</f>
      </c>
    </row>
    <row r="25" ht="12" customHeight="1">
      <c r="D25" s="13"/>
    </row>
    <row r="26" ht="18">
      <c r="D26" s="96" t="s">
        <v>41</v>
      </c>
    </row>
    <row r="27" ht="18">
      <c r="D27" s="68">
        <f>IF(RptNo="","",RptNo)</f>
      </c>
    </row>
    <row r="28" ht="12" customHeight="1">
      <c r="D28" s="13"/>
    </row>
    <row r="29" ht="18">
      <c r="D29" s="97" t="str">
        <f>IF(Cal_Date="","Calibration Date:","Calibration Date: "&amp;TEXT(Cal_Date,"mmmm d, yyyy"))</f>
        <v>Calibration Date:</v>
      </c>
    </row>
    <row r="30" ht="12" customHeight="1">
      <c r="D30" s="13"/>
    </row>
    <row r="31" ht="18">
      <c r="D31" s="97" t="str">
        <f>IF(Cal_Date="","Calibration Due Date:",IF(IntervalQ="yes","Calibration Due Date: "&amp;TEXT(DATE(YEAR(Cal_Date),MONTH(Cal_Date)+Interval,DAY(Cal_Date)),"mmmm d, yyyy"),""))</f>
        <v>Calibration Due Date:</v>
      </c>
    </row>
    <row r="32" ht="12" customHeight="1">
      <c r="D32" s="13"/>
    </row>
    <row r="33" spans="1:7" ht="18">
      <c r="A33" s="477" t="s">
        <v>105</v>
      </c>
      <c r="B33" s="477"/>
      <c r="C33" s="477"/>
      <c r="D33" s="477"/>
      <c r="E33" s="477"/>
      <c r="F33" s="477"/>
      <c r="G33" s="477"/>
    </row>
    <row r="34" spans="1:7" ht="18">
      <c r="A34" s="477"/>
      <c r="B34" s="477"/>
      <c r="C34" s="477"/>
      <c r="D34" s="477"/>
      <c r="E34" s="477"/>
      <c r="F34" s="477"/>
      <c r="G34" s="477"/>
    </row>
    <row r="35" ht="18"/>
    <row r="36" ht="18">
      <c r="D36" s="13"/>
    </row>
    <row r="37" spans="1:7" ht="18">
      <c r="A37" s="65"/>
      <c r="B37" s="65"/>
      <c r="C37" s="65"/>
      <c r="D37" s="13"/>
      <c r="F37" s="65"/>
      <c r="G37" s="65"/>
    </row>
    <row r="38" spans="1:7" s="62" customFormat="1" ht="15">
      <c r="A38" s="62" t="s">
        <v>708</v>
      </c>
      <c r="D38" s="66"/>
      <c r="F38" s="476" t="s">
        <v>88</v>
      </c>
      <c r="G38" s="476"/>
    </row>
    <row r="39" spans="1:4" s="63" customFormat="1" ht="12" customHeight="1">
      <c r="A39" s="59"/>
      <c r="D39" s="1"/>
    </row>
    <row r="40" spans="1:4" s="63" customFormat="1" ht="18">
      <c r="A40" s="59"/>
      <c r="D40" s="1"/>
    </row>
    <row r="41" spans="1:11" s="38" customFormat="1" ht="54" customHeight="1">
      <c r="A41" s="479" t="s">
        <v>562</v>
      </c>
      <c r="B41" s="479"/>
      <c r="C41" s="475" t="s">
        <v>563</v>
      </c>
      <c r="D41" s="475"/>
      <c r="E41" s="475"/>
      <c r="F41" s="475"/>
      <c r="G41" s="475"/>
      <c r="H41" s="312"/>
      <c r="I41" s="39"/>
      <c r="J41" s="40"/>
      <c r="K41" s="41"/>
    </row>
    <row r="42" spans="1:8" ht="19.5">
      <c r="A42" s="471" t="s">
        <v>89</v>
      </c>
      <c r="B42" s="471"/>
      <c r="C42" s="471"/>
      <c r="D42" s="471"/>
      <c r="E42" s="471"/>
      <c r="F42" s="471"/>
      <c r="G42" s="471"/>
      <c r="H42" s="90"/>
    </row>
    <row r="43" spans="1:8" s="60" customFormat="1" ht="18">
      <c r="A43" s="59" t="str">
        <f>"Report Number: "&amp;RptNo</f>
        <v>Report Number: </v>
      </c>
      <c r="B43" s="59"/>
      <c r="C43" s="59"/>
      <c r="D43" s="59"/>
      <c r="E43" s="59"/>
      <c r="F43" s="59"/>
      <c r="G43" s="64" t="str">
        <f>IF(Cal_Date="","Calibration Date:","Calibration Date: "&amp;TEXT(Cal_Date,"mmmm d, yyyy"))</f>
        <v>Calibration Date:</v>
      </c>
      <c r="H43" s="59"/>
    </row>
    <row r="44" spans="2:15" s="60" customFormat="1" ht="12" customHeight="1">
      <c r="B44" s="51"/>
      <c r="C44" s="51"/>
      <c r="D44" s="51"/>
      <c r="E44" s="51"/>
      <c r="F44" s="51"/>
      <c r="O44" s="61"/>
    </row>
    <row r="45" spans="1:7" ht="18">
      <c r="A45" s="78" t="s">
        <v>93</v>
      </c>
      <c r="B45" s="51"/>
      <c r="C45" s="51"/>
      <c r="D45" s="51"/>
      <c r="E45" s="51"/>
      <c r="F45" s="51"/>
      <c r="G45" s="31"/>
    </row>
    <row r="46" spans="1:21" s="62" customFormat="1" ht="15.75" customHeight="1">
      <c r="A46" s="79" t="s">
        <v>95</v>
      </c>
      <c r="B46" s="70" t="str">
        <f>IF(Description="","",Nx&amp;" lb "&amp;Description)</f>
        <v> lb Weight Cart</v>
      </c>
      <c r="C46" s="71"/>
      <c r="D46" s="71"/>
      <c r="E46" s="80" t="s">
        <v>73</v>
      </c>
      <c r="F46" s="70">
        <f>IF(Receive_Date="","",TEXT(Receive_Date,"mmmm d, yyyy"))</f>
      </c>
      <c r="G46" s="71"/>
      <c r="O46" s="59"/>
      <c r="P46" s="59"/>
      <c r="Q46" s="59"/>
      <c r="R46" s="59"/>
      <c r="S46" s="59"/>
      <c r="T46" s="59"/>
      <c r="U46" s="59"/>
    </row>
    <row r="47" spans="1:21" s="62" customFormat="1" ht="15.75" customHeight="1">
      <c r="A47" s="79" t="s">
        <v>96</v>
      </c>
      <c r="B47" s="70">
        <f>IF(SN="","",SN)</f>
      </c>
      <c r="C47" s="71"/>
      <c r="D47" s="71"/>
      <c r="E47" s="75" t="s">
        <v>414</v>
      </c>
      <c r="F47" s="81">
        <f>IF(ID="","",ID)</f>
      </c>
      <c r="G47" s="71"/>
      <c r="O47" s="59"/>
      <c r="P47" s="59"/>
      <c r="Q47" s="59"/>
      <c r="R47" s="59"/>
      <c r="S47" s="59"/>
      <c r="T47" s="59"/>
      <c r="U47" s="59"/>
    </row>
    <row r="48" spans="1:21" s="62" customFormat="1" ht="15.75" customHeight="1">
      <c r="A48" s="80" t="s">
        <v>94</v>
      </c>
      <c r="B48" s="70">
        <f>IF(Mfg="","",Mfg)</f>
      </c>
      <c r="C48" s="71"/>
      <c r="E48" s="80" t="s">
        <v>536</v>
      </c>
      <c r="F48" s="70">
        <f>IF(Mfg_Date="","",TEXT(Mfg_Date,"mmmm d, yyyy"))</f>
      </c>
      <c r="G48" s="71"/>
      <c r="O48" s="59"/>
      <c r="P48" s="59"/>
      <c r="Q48" s="59"/>
      <c r="R48" s="59"/>
      <c r="S48" s="59"/>
      <c r="T48" s="59"/>
      <c r="U48" s="59"/>
    </row>
    <row r="49" spans="1:21" s="62" customFormat="1" ht="15.75" customHeight="1">
      <c r="A49" s="75" t="s">
        <v>98</v>
      </c>
      <c r="B49" s="81" t="str">
        <f>IF(Condition="","",Condition)</f>
        <v>See Inspection Checklist</v>
      </c>
      <c r="C49" s="72"/>
      <c r="D49" s="72"/>
      <c r="E49" s="79" t="s">
        <v>110</v>
      </c>
      <c r="F49" s="70" t="str">
        <f>IF(Tol_Class="","",Tol_Class)</f>
        <v>NIST HB 105-8</v>
      </c>
      <c r="G49" s="72"/>
      <c r="O49" s="59"/>
      <c r="P49" s="59"/>
      <c r="Q49" s="59"/>
      <c r="R49" s="59"/>
      <c r="S49" s="59"/>
      <c r="T49" s="59"/>
      <c r="U49" s="59"/>
    </row>
    <row r="50" spans="1:2" s="62" customFormat="1" ht="12" customHeight="1">
      <c r="A50" s="75"/>
      <c r="B50" s="81"/>
    </row>
    <row r="51" spans="1:7" ht="18">
      <c r="A51" s="82" t="s">
        <v>97</v>
      </c>
      <c r="B51" s="60"/>
      <c r="C51" s="60"/>
      <c r="D51" s="60"/>
      <c r="G51" s="83"/>
    </row>
    <row r="52" spans="1:6" s="62" customFormat="1" ht="15.75" customHeight="1">
      <c r="A52" s="80" t="s">
        <v>111</v>
      </c>
      <c r="B52" s="70">
        <f>IF(JobNo="","",JobNo)</f>
      </c>
      <c r="E52" s="75" t="s">
        <v>100</v>
      </c>
      <c r="F52" s="81">
        <f>IF(AVG_t="","",FIXED(AVG_t,1)&amp;" ºC")</f>
      </c>
    </row>
    <row r="53" spans="1:6" s="62" customFormat="1" ht="15.75" customHeight="1">
      <c r="A53" s="75" t="s">
        <v>107</v>
      </c>
      <c r="B53" s="81">
        <f>IF(Tech="","",Tech)</f>
      </c>
      <c r="E53" s="75" t="s">
        <v>101</v>
      </c>
      <c r="F53" s="81">
        <f>IF(AVG_P="","",FIXED(AVG_P,1)&amp;" mm Hg")</f>
      </c>
    </row>
    <row r="54" spans="1:6" s="62" customFormat="1" ht="15.75" customHeight="1">
      <c r="A54" s="75" t="s">
        <v>99</v>
      </c>
      <c r="B54" s="81" t="s">
        <v>408</v>
      </c>
      <c r="E54" s="79" t="s">
        <v>376</v>
      </c>
      <c r="F54" s="81">
        <f>IF(AVG_U="","",FIXED(AVG_U,1)&amp;" % RH")</f>
      </c>
    </row>
    <row r="55" spans="1:6" s="62" customFormat="1" ht="12" customHeight="1">
      <c r="A55" s="75"/>
      <c r="B55" s="81"/>
      <c r="E55" s="75"/>
      <c r="F55" s="81"/>
    </row>
    <row r="56" spans="1:7" ht="15.75" customHeight="1">
      <c r="A56" s="85" t="s">
        <v>103</v>
      </c>
      <c r="B56" s="65"/>
      <c r="C56" s="65"/>
      <c r="D56" s="65"/>
      <c r="E56" s="76"/>
      <c r="F56" s="65"/>
      <c r="G56" s="65"/>
    </row>
    <row r="57" spans="1:7" ht="15.75" customHeight="1">
      <c r="A57" s="87" t="s">
        <v>14</v>
      </c>
      <c r="B57" s="87"/>
      <c r="C57" s="88" t="s">
        <v>8</v>
      </c>
      <c r="D57" s="478" t="s">
        <v>108</v>
      </c>
      <c r="E57" s="478"/>
      <c r="F57" s="89" t="s">
        <v>102</v>
      </c>
      <c r="G57" s="89" t="s">
        <v>106</v>
      </c>
    </row>
    <row r="58" spans="1:7" ht="15.75" customHeight="1">
      <c r="A58" s="469">
        <f>IF('Data Entry'!A45="","",'Data Entry'!A45)</f>
      </c>
      <c r="B58" s="469"/>
      <c r="C58" s="84">
        <f>IF('Data Entry'!D45="","",'Data Entry'!D45)</f>
      </c>
      <c r="D58" s="473">
        <f>IF('Data Entry'!F45="","",'Data Entry'!F45)</f>
      </c>
      <c r="E58" s="473"/>
      <c r="F58" s="77">
        <f>IF('Data Entry'!H45="","",'Data Entry'!H45)</f>
      </c>
      <c r="G58" s="77">
        <f>IF('Data Entry'!I45="","",'Data Entry'!I45)</f>
      </c>
    </row>
    <row r="59" spans="1:7" ht="15.75" customHeight="1">
      <c r="A59" s="469">
        <f>IF('Data Entry'!A46="","",'Data Entry'!A46)</f>
      </c>
      <c r="B59" s="469"/>
      <c r="C59" s="84">
        <f>IF('Data Entry'!D46="","",'Data Entry'!D46)</f>
      </c>
      <c r="D59" s="473">
        <f>IF('Data Entry'!F46="","",'Data Entry'!F46)</f>
      </c>
      <c r="E59" s="473"/>
      <c r="F59" s="77">
        <f>IF('Data Entry'!H46="","",'Data Entry'!H46)</f>
      </c>
      <c r="G59" s="77">
        <f>IF('Data Entry'!I46="","",'Data Entry'!I46)</f>
      </c>
    </row>
    <row r="60" spans="1:7" ht="12" customHeight="1">
      <c r="A60" s="86"/>
      <c r="B60" s="86"/>
      <c r="C60" s="84"/>
      <c r="D60" s="54"/>
      <c r="E60" s="54"/>
      <c r="F60" s="77"/>
      <c r="G60" s="77"/>
    </row>
    <row r="61" spans="1:7" ht="18">
      <c r="A61" s="82" t="s">
        <v>55</v>
      </c>
      <c r="B61" s="60"/>
      <c r="C61" s="60"/>
      <c r="D61" s="60"/>
      <c r="E61" s="60"/>
      <c r="F61" s="60"/>
      <c r="G61" s="83"/>
    </row>
    <row r="62" spans="1:7" ht="109.5" customHeight="1">
      <c r="A62" s="472" t="s">
        <v>362</v>
      </c>
      <c r="B62" s="472"/>
      <c r="C62" s="472"/>
      <c r="D62" s="472"/>
      <c r="E62" s="472"/>
      <c r="F62" s="472"/>
      <c r="G62" s="472"/>
    </row>
    <row r="63" spans="1:7" ht="18">
      <c r="A63" s="82" t="s">
        <v>56</v>
      </c>
      <c r="B63" s="60"/>
      <c r="C63" s="60"/>
      <c r="D63" s="60"/>
      <c r="E63" s="60"/>
      <c r="F63" s="60"/>
      <c r="G63" s="83"/>
    </row>
    <row r="64" spans="1:7" ht="96.75" customHeight="1">
      <c r="A64" s="474" t="s">
        <v>598</v>
      </c>
      <c r="B64" s="474"/>
      <c r="C64" s="474"/>
      <c r="D64" s="474"/>
      <c r="E64" s="474"/>
      <c r="F64" s="474"/>
      <c r="G64" s="474"/>
    </row>
    <row r="65" spans="1:7" ht="18">
      <c r="A65" s="82" t="s">
        <v>374</v>
      </c>
      <c r="B65" s="60"/>
      <c r="C65" s="60"/>
      <c r="D65" s="60"/>
      <c r="E65" s="60"/>
      <c r="F65" s="60"/>
      <c r="G65" s="83"/>
    </row>
    <row r="66" spans="1:7" ht="36" customHeight="1">
      <c r="A66" s="470" t="s">
        <v>564</v>
      </c>
      <c r="B66" s="470"/>
      <c r="C66" s="470"/>
      <c r="D66" s="470"/>
      <c r="E66" s="470"/>
      <c r="F66" s="470"/>
      <c r="G66" s="470"/>
    </row>
    <row r="67" spans="1:6" s="60" customFormat="1" ht="24" customHeight="1">
      <c r="A67" s="82" t="s">
        <v>363</v>
      </c>
      <c r="C67" s="252"/>
      <c r="E67" s="253"/>
      <c r="F67" s="253"/>
    </row>
    <row r="68" s="60" customFormat="1" ht="18">
      <c r="A68" s="254" t="s">
        <v>364</v>
      </c>
    </row>
    <row r="69" s="60" customFormat="1" ht="18">
      <c r="A69" s="254" t="s">
        <v>365</v>
      </c>
    </row>
    <row r="70" spans="1:7" s="60" customFormat="1" ht="18">
      <c r="A70" s="468" t="s">
        <v>366</v>
      </c>
      <c r="B70" s="468"/>
      <c r="C70" s="468"/>
      <c r="D70" s="468" t="s">
        <v>367</v>
      </c>
      <c r="E70" s="468"/>
      <c r="F70" s="468" t="s">
        <v>373</v>
      </c>
      <c r="G70" s="468"/>
    </row>
    <row r="71" spans="1:7" s="60" customFormat="1" ht="18">
      <c r="A71" s="465" t="s">
        <v>369</v>
      </c>
      <c r="B71" s="465"/>
      <c r="C71" s="465"/>
      <c r="D71" s="255" t="s">
        <v>368</v>
      </c>
      <c r="F71" s="466" t="s">
        <v>370</v>
      </c>
      <c r="G71" s="466"/>
    </row>
    <row r="72" spans="1:8" ht="19.5">
      <c r="A72" s="471" t="s">
        <v>89</v>
      </c>
      <c r="B72" s="471"/>
      <c r="C72" s="471"/>
      <c r="D72" s="471"/>
      <c r="E72" s="471"/>
      <c r="F72" s="471"/>
      <c r="G72" s="471"/>
      <c r="H72" s="90"/>
    </row>
    <row r="73" spans="1:8" s="60" customFormat="1" ht="18">
      <c r="A73" s="59" t="str">
        <f>"Report Number: "&amp;RptNo</f>
        <v>Report Number: </v>
      </c>
      <c r="B73" s="59"/>
      <c r="C73" s="59"/>
      <c r="D73" s="59"/>
      <c r="E73" s="59"/>
      <c r="F73" s="59"/>
      <c r="G73" s="64" t="str">
        <f>IF(Cal_Date="","Calibration Date:","Calibration Date: "&amp;TEXT(Cal_Date,"mmmm d, yyyy"))</f>
        <v>Calibration Date:</v>
      </c>
      <c r="H73" s="59"/>
    </row>
    <row r="74" spans="2:15" s="60" customFormat="1" ht="12" customHeight="1">
      <c r="B74" s="51"/>
      <c r="C74" s="51"/>
      <c r="D74" s="51"/>
      <c r="E74" s="51"/>
      <c r="F74" s="51"/>
      <c r="O74" s="61"/>
    </row>
    <row r="75" spans="1:7" ht="24" customHeight="1">
      <c r="A75" s="82" t="s">
        <v>85</v>
      </c>
      <c r="B75" s="60"/>
      <c r="C75" s="60"/>
      <c r="D75" s="60"/>
      <c r="E75" s="60"/>
      <c r="F75" s="60"/>
      <c r="G75" s="83"/>
    </row>
    <row r="76" spans="1:7" ht="63" customHeight="1">
      <c r="A76" s="467" t="s">
        <v>72</v>
      </c>
      <c r="B76" s="467"/>
      <c r="C76" s="467"/>
      <c r="D76" s="467"/>
      <c r="E76" s="467"/>
      <c r="F76" s="467"/>
      <c r="G76" s="467"/>
    </row>
    <row r="77" spans="1:7" ht="78.75" customHeight="1">
      <c r="A77" s="467" t="s">
        <v>92</v>
      </c>
      <c r="B77" s="467"/>
      <c r="C77" s="467"/>
      <c r="D77" s="467"/>
      <c r="E77" s="467"/>
      <c r="F77" s="467"/>
      <c r="G77" s="467"/>
    </row>
    <row r="78" spans="1:7" ht="61.5" customHeight="1">
      <c r="A78" s="463" t="s">
        <v>691</v>
      </c>
      <c r="B78" s="463"/>
      <c r="C78" s="463"/>
      <c r="D78" s="463"/>
      <c r="E78" s="463"/>
      <c r="F78" s="463"/>
      <c r="G78" s="463"/>
    </row>
    <row r="79" spans="1:7" ht="15.75" customHeight="1">
      <c r="A79" s="463" t="str">
        <f>"●  The adjusting cavity was sealed after adjustment with Seal Number "&amp;SealNo</f>
        <v>●  The adjusting cavity was sealed after adjustment with Seal Number </v>
      </c>
      <c r="B79" s="463"/>
      <c r="C79" s="463"/>
      <c r="D79" s="463"/>
      <c r="E79" s="463"/>
      <c r="F79" s="463"/>
      <c r="G79" s="463"/>
    </row>
    <row r="80" spans="1:7" ht="32.25" customHeight="1">
      <c r="A80" s="463" t="s">
        <v>71</v>
      </c>
      <c r="B80" s="463"/>
      <c r="C80" s="463"/>
      <c r="D80" s="463"/>
      <c r="E80" s="463"/>
      <c r="F80" s="463"/>
      <c r="G80" s="463"/>
    </row>
    <row r="81" spans="1:7" ht="15.75" customHeight="1">
      <c r="A81" s="464" t="s">
        <v>54</v>
      </c>
      <c r="B81" s="464"/>
      <c r="C81" s="464"/>
      <c r="D81" s="464"/>
      <c r="E81" s="464"/>
      <c r="F81" s="464"/>
      <c r="G81" s="464"/>
    </row>
    <row r="82" ht="12" customHeight="1"/>
    <row r="83" spans="1:6" s="60" customFormat="1" ht="24" customHeight="1">
      <c r="A83" s="82" t="s">
        <v>409</v>
      </c>
      <c r="C83" s="252"/>
      <c r="E83" s="253"/>
      <c r="F83" s="253"/>
    </row>
    <row r="84" spans="1:7" ht="81.75" customHeight="1">
      <c r="A84" s="463" t="s">
        <v>687</v>
      </c>
      <c r="B84" s="463"/>
      <c r="C84" s="463"/>
      <c r="D84" s="463"/>
      <c r="E84" s="463"/>
      <c r="F84" s="463"/>
      <c r="G84" s="463"/>
    </row>
    <row r="85" spans="1:7" s="266" customFormat="1" ht="41.25" customHeight="1">
      <c r="A85" s="462" t="s">
        <v>410</v>
      </c>
      <c r="B85" s="462"/>
      <c r="C85" s="462"/>
      <c r="D85" s="462"/>
      <c r="E85" s="462"/>
      <c r="F85" s="462"/>
      <c r="G85" s="462"/>
    </row>
    <row r="86" spans="1:7" s="266" customFormat="1" ht="73.5" customHeight="1">
      <c r="A86" s="462" t="s">
        <v>537</v>
      </c>
      <c r="B86" s="462"/>
      <c r="C86" s="462"/>
      <c r="D86" s="462"/>
      <c r="E86" s="462"/>
      <c r="F86" s="462"/>
      <c r="G86" s="462"/>
    </row>
    <row r="87" spans="1:7" ht="18.75" thickBot="1">
      <c r="A87" s="73" t="str">
        <f>IF(Obs4_1="","As Found / Left Calibration Results","As Found Calibration Results")</f>
        <v>As Found / Left Calibration Results</v>
      </c>
      <c r="B87" s="73"/>
      <c r="C87" s="73"/>
      <c r="D87" s="73"/>
      <c r="E87" s="73"/>
      <c r="F87" s="74"/>
      <c r="G87" s="74"/>
    </row>
    <row r="88" spans="1:7" ht="45">
      <c r="A88" s="91" t="s">
        <v>452</v>
      </c>
      <c r="B88" s="91" t="s">
        <v>689</v>
      </c>
      <c r="C88" s="91" t="s">
        <v>690</v>
      </c>
      <c r="D88" s="91" t="s">
        <v>453</v>
      </c>
      <c r="E88" s="91" t="s">
        <v>692</v>
      </c>
      <c r="F88" s="91" t="s">
        <v>377</v>
      </c>
      <c r="G88" s="91" t="s">
        <v>454</v>
      </c>
    </row>
    <row r="89" spans="1:7" ht="18">
      <c r="A89" s="281">
        <f>IF(Nx="","",Nx)</f>
      </c>
      <c r="B89" s="281">
        <f>IF(Nx="","",Calculations!E38)</f>
      </c>
      <c r="C89" s="281">
        <f>IF(Nx="","",Calculations!E40)</f>
      </c>
      <c r="D89" s="281">
        <f>IF(Nx="","",Calculations!E43)</f>
      </c>
      <c r="E89" s="281">
        <f>IF(Nx="","",Calculations!E42)</f>
      </c>
      <c r="F89" s="281">
        <f>IF(Nx="","",Calculations!E41)</f>
      </c>
      <c r="G89" s="281">
        <f>IF(Nx="","",Calculations!E44)</f>
      </c>
    </row>
    <row r="90" spans="1:5" ht="18">
      <c r="A90" s="92"/>
      <c r="B90" s="92"/>
      <c r="C90" s="92"/>
      <c r="D90" s="92"/>
      <c r="E90" s="92"/>
    </row>
    <row r="91" ht="18" hidden="1"/>
    <row r="92" ht="18" hidden="1"/>
    <row r="93" ht="18" hidden="1"/>
    <row r="94" ht="18" hidden="1"/>
    <row r="95" ht="18" hidden="1"/>
    <row r="96" ht="18" hidden="1"/>
    <row r="97" ht="18" hidden="1"/>
    <row r="98" ht="18" hidden="1"/>
  </sheetData>
  <sheetProtection password="83AF" sheet="1" objects="1" scenarios="1"/>
  <mergeCells count="28">
    <mergeCell ref="C41:G41"/>
    <mergeCell ref="F38:G38"/>
    <mergeCell ref="A33:G34"/>
    <mergeCell ref="A58:B58"/>
    <mergeCell ref="D57:E57"/>
    <mergeCell ref="D58:E58"/>
    <mergeCell ref="A42:G42"/>
    <mergeCell ref="A41:B41"/>
    <mergeCell ref="A70:C70"/>
    <mergeCell ref="D70:E70"/>
    <mergeCell ref="F70:G70"/>
    <mergeCell ref="A59:B59"/>
    <mergeCell ref="A66:G66"/>
    <mergeCell ref="A76:G76"/>
    <mergeCell ref="A72:G72"/>
    <mergeCell ref="A62:G62"/>
    <mergeCell ref="D59:E59"/>
    <mergeCell ref="A64:G64"/>
    <mergeCell ref="A85:G85"/>
    <mergeCell ref="A86:G86"/>
    <mergeCell ref="A84:G84"/>
    <mergeCell ref="A81:G81"/>
    <mergeCell ref="A71:C71"/>
    <mergeCell ref="F71:G71"/>
    <mergeCell ref="A77:G77"/>
    <mergeCell ref="A80:G80"/>
    <mergeCell ref="A78:G78"/>
    <mergeCell ref="A79:G79"/>
  </mergeCells>
  <conditionalFormatting sqref="B89">
    <cfRule type="expression" priority="5" dxfId="40" stopIfTrue="1">
      <formula>ABS(B89)&gt;ABS(G89-D89)</formula>
    </cfRule>
  </conditionalFormatting>
  <conditionalFormatting sqref="C87">
    <cfRule type="expression" priority="6" dxfId="40" stopIfTrue="1">
      <formula>ABS(C85)&gt;ABS(G85-D85)</formula>
    </cfRule>
  </conditionalFormatting>
  <conditionalFormatting sqref="C89">
    <cfRule type="expression" priority="1" dxfId="40" stopIfTrue="1">
      <formula>ABS(C89)&gt;ABS(G89-D89)</formula>
    </cfRule>
  </conditionalFormatting>
  <printOptions horizontalCentered="1"/>
  <pageMargins left="0.5" right="0.5" top="0.5" bottom="0.75" header="0.75" footer="0.5"/>
  <pageSetup horizontalDpi="600" verticalDpi="600" orientation="portrait" scale="94" r:id="rId2"/>
  <headerFooter alignWithMargins="0">
    <oddFooter>&amp;L&amp;"Trebuchet MS,Regular"WAMRF-010, Rev. 07, 11/6/2014&amp;R&amp;"Trebuchet MS,Regular"Page &amp;P of 4</oddFooter>
  </headerFooter>
  <rowBreaks count="2" manualBreakCount="2">
    <brk id="41" max="255" man="1"/>
    <brk id="71" max="255" man="1"/>
  </rowBreaks>
  <drawing r:id="rId1"/>
</worksheet>
</file>

<file path=xl/worksheets/sheet6.xml><?xml version="1.0" encoding="utf-8"?>
<worksheet xmlns="http://schemas.openxmlformats.org/spreadsheetml/2006/main" xmlns:r="http://schemas.openxmlformats.org/officeDocument/2006/relationships">
  <sheetPr>
    <tabColor indexed="13"/>
  </sheetPr>
  <dimension ref="A1:K35"/>
  <sheetViews>
    <sheetView showGridLines="0" zoomScalePageLayoutView="0" workbookViewId="0" topLeftCell="A1">
      <selection activeCell="A1" sqref="A1:G1"/>
    </sheetView>
  </sheetViews>
  <sheetFormatPr defaultColWidth="0" defaultRowHeight="18" customHeight="1" zeroHeight="1"/>
  <cols>
    <col min="1" max="7" width="13.28125" style="59" customWidth="1"/>
    <col min="8" max="8" width="3.7109375" style="59" customWidth="1"/>
    <col min="9" max="11" width="12.28125" style="59" hidden="1" customWidth="1"/>
    <col min="12" max="12" width="3.7109375" style="59" hidden="1" customWidth="1"/>
    <col min="13" max="13" width="13.28125" style="59" hidden="1" customWidth="1"/>
    <col min="14" max="16384" width="0" style="59" hidden="1" customWidth="1"/>
  </cols>
  <sheetData>
    <row r="1" spans="1:11" ht="19.5">
      <c r="A1" s="471" t="s">
        <v>89</v>
      </c>
      <c r="B1" s="471"/>
      <c r="C1" s="471"/>
      <c r="D1" s="471"/>
      <c r="E1" s="471"/>
      <c r="F1" s="471"/>
      <c r="G1" s="471"/>
      <c r="H1" s="90"/>
      <c r="I1" s="90"/>
      <c r="J1" s="90"/>
      <c r="K1" s="90"/>
    </row>
    <row r="2" spans="1:7" ht="18">
      <c r="A2" s="59" t="str">
        <f>"Report Number: "&amp;RptNo</f>
        <v>Report Number: </v>
      </c>
      <c r="G2" s="64" t="str">
        <f>IF(Cal_Date="","Inspection Date:","Inspection Date: "&amp;TEXT(Cal_Date,"mmmm d, yyyy"))</f>
        <v>Inspection Date:</v>
      </c>
    </row>
    <row r="3" spans="1:11" ht="24" customHeight="1" thickBot="1">
      <c r="A3" s="73" t="s">
        <v>411</v>
      </c>
      <c r="B3" s="73"/>
      <c r="C3" s="73"/>
      <c r="D3" s="73"/>
      <c r="E3" s="73"/>
      <c r="F3" s="73"/>
      <c r="G3" s="73"/>
      <c r="H3" s="82"/>
      <c r="I3" s="60"/>
      <c r="J3" s="60"/>
      <c r="K3" s="60"/>
    </row>
    <row r="4" spans="1:6" s="62" customFormat="1" ht="15" customHeight="1">
      <c r="A4" s="267"/>
      <c r="B4" s="267"/>
      <c r="C4" s="267"/>
      <c r="D4" s="267"/>
      <c r="E4" s="267"/>
      <c r="F4" s="267"/>
    </row>
    <row r="5" spans="1:7" s="62" customFormat="1" ht="15">
      <c r="A5" s="288"/>
      <c r="B5" s="289" t="s">
        <v>412</v>
      </c>
      <c r="C5" s="292">
        <f>IF(Mfg="","",Mfg)</f>
      </c>
      <c r="D5" s="293"/>
      <c r="F5" s="290" t="s">
        <v>413</v>
      </c>
      <c r="G5" s="298">
        <f>IF(Mfg_Date="","",Mfg_Date)</f>
      </c>
    </row>
    <row r="6" spans="1:7" s="62" customFormat="1" ht="15">
      <c r="A6" s="288"/>
      <c r="B6" s="289" t="s">
        <v>414</v>
      </c>
      <c r="C6" s="296">
        <f>IF(ID="","",ID)</f>
      </c>
      <c r="D6" s="295"/>
      <c r="F6" s="290" t="s">
        <v>415</v>
      </c>
      <c r="G6" s="296">
        <f>IF(SN="","",SN)</f>
      </c>
    </row>
    <row r="7" spans="1:7" s="62" customFormat="1" ht="18" customHeight="1">
      <c r="A7" s="288"/>
      <c r="B7" s="290" t="s">
        <v>416</v>
      </c>
      <c r="C7" s="296" t="str">
        <f>IF(Nx="","",Nx)&amp;" lb"</f>
        <v> lb</v>
      </c>
      <c r="D7" s="295"/>
      <c r="F7" s="290" t="s">
        <v>511</v>
      </c>
      <c r="G7" s="296">
        <f>IF('Data Entry'!I29="","",'Data Entry'!I29)</f>
      </c>
    </row>
    <row r="8" spans="1:7" s="62" customFormat="1" ht="9.75" customHeight="1" thickBot="1">
      <c r="A8" s="483"/>
      <c r="B8" s="483"/>
      <c r="C8" s="483"/>
      <c r="D8" s="483"/>
      <c r="E8" s="483"/>
      <c r="F8" s="483"/>
      <c r="G8" s="483"/>
    </row>
    <row r="9" spans="1:7" s="62" customFormat="1" ht="9.75" customHeight="1" thickTop="1">
      <c r="A9" s="484"/>
      <c r="B9" s="484"/>
      <c r="C9" s="484"/>
      <c r="D9" s="484"/>
      <c r="E9" s="484"/>
      <c r="F9" s="484"/>
      <c r="G9" s="484"/>
    </row>
    <row r="10" spans="1:7" s="62" customFormat="1" ht="18" customHeight="1">
      <c r="A10" s="290" t="s">
        <v>512</v>
      </c>
      <c r="B10" s="292">
        <f>IF('Data Entry'!C24="","",'Data Entry'!C24)</f>
      </c>
      <c r="C10" s="76"/>
      <c r="D10" s="288"/>
      <c r="E10" s="290" t="s">
        <v>513</v>
      </c>
      <c r="F10" s="292">
        <f>IF('Data Entry'!H24="","",'Data Entry'!H24)</f>
      </c>
      <c r="G10" s="76"/>
    </row>
    <row r="11" spans="1:7" s="62" customFormat="1" ht="18" customHeight="1">
      <c r="A11" s="290" t="s">
        <v>514</v>
      </c>
      <c r="B11" s="294">
        <f>IF('Data Entry'!C25="","",'Data Entry'!C25)</f>
      </c>
      <c r="C11" s="295"/>
      <c r="D11" s="288"/>
      <c r="E11" s="290" t="s">
        <v>515</v>
      </c>
      <c r="F11" s="292">
        <f>IF('Data Entry'!H25="","",'Data Entry'!H25)</f>
      </c>
      <c r="G11" s="297"/>
    </row>
    <row r="12" spans="1:7" s="62" customFormat="1" ht="18" customHeight="1">
      <c r="A12" s="290" t="s">
        <v>516</v>
      </c>
      <c r="B12" s="294">
        <f>IF('Data Entry'!C26="","",'Data Entry'!C26)</f>
      </c>
      <c r="C12" s="293"/>
      <c r="D12" s="288"/>
      <c r="E12" s="290" t="s">
        <v>517</v>
      </c>
      <c r="F12" s="292">
        <f>IF('Data Entry'!H26="","",'Data Entry'!H26)</f>
      </c>
      <c r="G12" s="297"/>
    </row>
    <row r="13" spans="1:7" s="62" customFormat="1" ht="9.75" customHeight="1" thickBot="1">
      <c r="A13" s="483"/>
      <c r="B13" s="483"/>
      <c r="C13" s="483"/>
      <c r="D13" s="483"/>
      <c r="E13" s="483"/>
      <c r="F13" s="483"/>
      <c r="G13" s="483"/>
    </row>
    <row r="14" spans="1:7" s="62" customFormat="1" ht="9.75" customHeight="1" thickTop="1">
      <c r="A14" s="484"/>
      <c r="B14" s="484"/>
      <c r="C14" s="484"/>
      <c r="D14" s="484"/>
      <c r="E14" s="484"/>
      <c r="F14" s="484"/>
      <c r="G14" s="484"/>
    </row>
    <row r="15" spans="1:7" s="62" customFormat="1" ht="18" customHeight="1">
      <c r="A15" s="291" t="s">
        <v>518</v>
      </c>
      <c r="B15" s="299">
        <f>IF('Data Entry'!C27="","",'Data Entry'!C27)</f>
      </c>
      <c r="C15" s="290" t="s">
        <v>519</v>
      </c>
      <c r="D15" s="292">
        <f>IF('Data Entry'!F27="","",'Data Entry'!F27)</f>
      </c>
      <c r="E15" s="290"/>
      <c r="F15" s="290" t="s">
        <v>520</v>
      </c>
      <c r="G15" s="292">
        <f>IF('Data Entry'!J27="","",'Data Entry'!J27)</f>
      </c>
    </row>
    <row r="16" spans="1:7" s="62" customFormat="1" ht="18" customHeight="1">
      <c r="A16" s="290" t="s">
        <v>532</v>
      </c>
      <c r="B16" s="300" t="s">
        <v>533</v>
      </c>
      <c r="C16" s="292">
        <f>IF('Data Entry'!C28="","",'Data Entry'!C28)</f>
      </c>
      <c r="D16" s="289" t="s">
        <v>534</v>
      </c>
      <c r="E16" s="292">
        <f>IF('Data Entry'!F28="","",'Data Entry'!F28)</f>
      </c>
      <c r="F16" s="290" t="s">
        <v>535</v>
      </c>
      <c r="G16" s="292">
        <f>IF('Data Entry'!I28="","",'Data Entry'!I28)</f>
      </c>
    </row>
    <row r="17" spans="1:7" s="62" customFormat="1" ht="9.75" customHeight="1" thickBot="1">
      <c r="A17" s="483"/>
      <c r="B17" s="483"/>
      <c r="C17" s="483"/>
      <c r="D17" s="483"/>
      <c r="E17" s="483"/>
      <c r="F17" s="483"/>
      <c r="G17" s="483"/>
    </row>
    <row r="18" spans="1:7" s="62" customFormat="1" ht="9.75" customHeight="1" thickTop="1">
      <c r="A18" s="484"/>
      <c r="B18" s="484"/>
      <c r="C18" s="484"/>
      <c r="D18" s="484"/>
      <c r="E18" s="484"/>
      <c r="F18" s="484"/>
      <c r="G18" s="484"/>
    </row>
    <row r="19" spans="2:6" s="62" customFormat="1" ht="18" customHeight="1">
      <c r="B19" s="288"/>
      <c r="C19" s="288"/>
      <c r="D19" s="290" t="s">
        <v>523</v>
      </c>
      <c r="E19" s="292">
        <f>IF('Data Entry'!I30="","",'Data Entry'!I30)</f>
      </c>
      <c r="F19" s="288"/>
    </row>
    <row r="20" spans="2:6" s="62" customFormat="1" ht="18" customHeight="1">
      <c r="B20" s="288"/>
      <c r="C20" s="288"/>
      <c r="D20" s="290" t="s">
        <v>524</v>
      </c>
      <c r="E20" s="292">
        <f>IF('Data Entry'!I31="","",'Data Entry'!I31)</f>
      </c>
      <c r="F20" s="288"/>
    </row>
    <row r="21" spans="2:6" s="62" customFormat="1" ht="18" customHeight="1">
      <c r="B21" s="288"/>
      <c r="C21" s="288"/>
      <c r="D21" s="290" t="s">
        <v>525</v>
      </c>
      <c r="E21" s="292">
        <f>IF('Data Entry'!I32="","",'Data Entry'!I32)</f>
      </c>
      <c r="F21" s="288"/>
    </row>
    <row r="22" spans="3:5" s="62" customFormat="1" ht="18" customHeight="1">
      <c r="C22" s="288"/>
      <c r="D22" s="290" t="s">
        <v>530</v>
      </c>
      <c r="E22" s="292">
        <f>IF('Data Entry'!D33="","",'Data Entry'!D33)</f>
      </c>
    </row>
    <row r="23" spans="2:6" s="62" customFormat="1" ht="18" customHeight="1">
      <c r="B23" s="288"/>
      <c r="D23" s="290" t="s">
        <v>531</v>
      </c>
      <c r="E23" s="296">
        <f>IF('Data Entry'!F33="","",'Data Entry'!F33)</f>
      </c>
      <c r="F23" s="288"/>
    </row>
    <row r="24" spans="2:6" s="62" customFormat="1" ht="18" customHeight="1">
      <c r="B24" s="288"/>
      <c r="C24" s="288"/>
      <c r="D24" s="290" t="s">
        <v>529</v>
      </c>
      <c r="E24" s="296" t="str">
        <f>IF('Data Entry'!J33="","",'Data Entry'!J33)&amp;" lb"</f>
        <v> lb</v>
      </c>
      <c r="F24" s="288"/>
    </row>
    <row r="25" spans="2:6" s="62" customFormat="1" ht="18" customHeight="1">
      <c r="B25" s="288"/>
      <c r="C25" s="288"/>
      <c r="D25" s="290" t="s">
        <v>526</v>
      </c>
      <c r="E25" s="292">
        <f>IF('Data Entry'!I34="","",'Data Entry'!I34)</f>
      </c>
      <c r="F25" s="288"/>
    </row>
    <row r="26" spans="2:6" s="62" customFormat="1" ht="18" customHeight="1">
      <c r="B26" s="288"/>
      <c r="C26" s="288"/>
      <c r="D26" s="290" t="s">
        <v>527</v>
      </c>
      <c r="E26" s="292">
        <f>IF('Data Entry'!I35="","",'Data Entry'!I35)</f>
      </c>
      <c r="F26" s="288"/>
    </row>
    <row r="27" spans="2:6" s="62" customFormat="1" ht="18" customHeight="1">
      <c r="B27" s="288"/>
      <c r="C27" s="288"/>
      <c r="D27" s="290" t="s">
        <v>528</v>
      </c>
      <c r="E27" s="292">
        <f>IF('Data Entry'!I36="","",'Data Entry'!I36)</f>
      </c>
      <c r="F27" s="288"/>
    </row>
    <row r="28" spans="1:7" s="62" customFormat="1" ht="9.75" customHeight="1" thickBot="1">
      <c r="A28" s="483"/>
      <c r="B28" s="483"/>
      <c r="C28" s="483"/>
      <c r="D28" s="483"/>
      <c r="E28" s="483"/>
      <c r="F28" s="483"/>
      <c r="G28" s="483"/>
    </row>
    <row r="29" spans="1:7" s="62" customFormat="1" ht="9.75" customHeight="1" thickTop="1">
      <c r="A29" s="484"/>
      <c r="B29" s="484"/>
      <c r="C29" s="484"/>
      <c r="D29" s="484"/>
      <c r="E29" s="484"/>
      <c r="F29" s="484"/>
      <c r="G29" s="484"/>
    </row>
    <row r="30" spans="1:7" s="62" customFormat="1" ht="42.75" customHeight="1">
      <c r="A30" s="485" t="s">
        <v>521</v>
      </c>
      <c r="B30" s="486"/>
      <c r="C30" s="486"/>
      <c r="D30" s="486"/>
      <c r="E30" s="486"/>
      <c r="F30" s="486"/>
      <c r="G30" s="487"/>
    </row>
    <row r="31" spans="1:7" s="62" customFormat="1" ht="48" customHeight="1">
      <c r="A31" s="480">
        <f>IF('Data Entry'!A38="","",'Data Entry'!A38)</f>
      </c>
      <c r="B31" s="481"/>
      <c r="C31" s="481"/>
      <c r="D31" s="481"/>
      <c r="E31" s="481"/>
      <c r="F31" s="481"/>
      <c r="G31" s="482"/>
    </row>
    <row r="32" spans="1:7" s="62" customFormat="1" ht="48" customHeight="1">
      <c r="A32" s="485" t="s">
        <v>522</v>
      </c>
      <c r="B32" s="486"/>
      <c r="C32" s="486"/>
      <c r="D32" s="486"/>
      <c r="E32" s="486"/>
      <c r="F32" s="486"/>
      <c r="G32" s="487"/>
    </row>
    <row r="33" spans="1:7" s="62" customFormat="1" ht="48" customHeight="1">
      <c r="A33" s="480">
        <f>IF('Data Entry'!A40="","",'Data Entry'!A40)</f>
      </c>
      <c r="B33" s="481"/>
      <c r="C33" s="481"/>
      <c r="D33" s="481"/>
      <c r="E33" s="481"/>
      <c r="F33" s="481"/>
      <c r="G33" s="482"/>
    </row>
    <row r="34" spans="1:6" s="62" customFormat="1" ht="18" customHeight="1">
      <c r="A34" s="288"/>
      <c r="B34" s="288"/>
      <c r="C34" s="288"/>
      <c r="D34" s="288"/>
      <c r="E34" s="288"/>
      <c r="F34" s="288"/>
    </row>
    <row r="35" ht="18" customHeight="1" hidden="1">
      <c r="A35" s="266"/>
    </row>
  </sheetData>
  <sheetProtection password="83AF" sheet="1" objects="1" scenarios="1"/>
  <mergeCells count="13">
    <mergeCell ref="A8:G8"/>
    <mergeCell ref="A9:G9"/>
    <mergeCell ref="A1:G1"/>
    <mergeCell ref="A30:G30"/>
    <mergeCell ref="A32:G32"/>
    <mergeCell ref="A31:G31"/>
    <mergeCell ref="A33:G33"/>
    <mergeCell ref="A13:G13"/>
    <mergeCell ref="A14:G14"/>
    <mergeCell ref="A17:G17"/>
    <mergeCell ref="A18:G18"/>
    <mergeCell ref="A28:G28"/>
    <mergeCell ref="A29:G29"/>
  </mergeCells>
  <printOptions/>
  <pageMargins left="0.6" right="0.5" top="0.5" bottom="1" header="0.6" footer="0.5"/>
  <pageSetup horizontalDpi="600" verticalDpi="600" orientation="portrait" r:id="rId1"/>
  <headerFooter alignWithMargins="0">
    <oddFooter>&amp;L&amp;"Trebuchet MS,Regular"WAMRF-010, Rev. 07, 11/6/2014&amp;R&amp;"Trebuchet MS,Regular"Page 4 of 4</oddFooter>
  </headerFooter>
</worksheet>
</file>

<file path=xl/worksheets/sheet7.xml><?xml version="1.0" encoding="utf-8"?>
<worksheet xmlns="http://schemas.openxmlformats.org/spreadsheetml/2006/main" xmlns:r="http://schemas.openxmlformats.org/officeDocument/2006/relationships">
  <sheetPr>
    <tabColor indexed="8"/>
    <pageSetUpPr fitToPage="1"/>
  </sheetPr>
  <dimension ref="A1:M6"/>
  <sheetViews>
    <sheetView showGridLines="0" zoomScale="91" zoomScaleNormal="91" zoomScalePageLayoutView="0" workbookViewId="0" topLeftCell="A1">
      <selection activeCell="B5" sqref="B5:M5"/>
    </sheetView>
  </sheetViews>
  <sheetFormatPr defaultColWidth="0" defaultRowHeight="12.75" zeroHeight="1"/>
  <cols>
    <col min="1" max="13" width="12.7109375" style="0" customWidth="1"/>
    <col min="14" max="14" width="3.7109375" style="0" customWidth="1"/>
    <col min="15" max="16384" width="9.140625" style="0" hidden="1" customWidth="1"/>
  </cols>
  <sheetData>
    <row r="1" spans="1:13" s="101" customFormat="1" ht="18.75" thickBot="1">
      <c r="A1" s="301" t="s">
        <v>605</v>
      </c>
      <c r="B1" s="301"/>
      <c r="C1" s="301"/>
      <c r="D1" s="301"/>
      <c r="E1" s="301"/>
      <c r="F1" s="301"/>
      <c r="G1" s="301"/>
      <c r="H1" s="301"/>
      <c r="I1" s="301"/>
      <c r="J1" s="301"/>
      <c r="K1" s="301"/>
      <c r="L1" s="22"/>
      <c r="M1" s="37">
        <f>IF(RptNo="","","Report Number: "&amp;RptNo)</f>
      </c>
    </row>
    <row r="2" spans="1:13" s="101" customFormat="1" ht="15">
      <c r="A2" s="488" t="s">
        <v>606</v>
      </c>
      <c r="B2" s="488"/>
      <c r="C2" s="488"/>
      <c r="D2" s="488"/>
      <c r="E2" s="488"/>
      <c r="F2" s="488"/>
      <c r="G2" s="488"/>
      <c r="H2" s="488"/>
      <c r="I2" s="488"/>
      <c r="J2" s="488"/>
      <c r="K2" s="488"/>
      <c r="L2" s="488"/>
      <c r="M2" s="488"/>
    </row>
    <row r="3" spans="1:12" s="101" customFormat="1" ht="18.75" thickBot="1">
      <c r="A3" s="301"/>
      <c r="B3" s="301"/>
      <c r="C3" s="301"/>
      <c r="D3" s="301"/>
      <c r="E3" s="301"/>
      <c r="F3" s="301"/>
      <c r="G3" s="301"/>
      <c r="H3" s="301"/>
      <c r="I3" s="301"/>
      <c r="J3" s="301"/>
      <c r="K3" s="301"/>
      <c r="L3" s="301"/>
    </row>
    <row r="4" spans="1:13" s="101" customFormat="1" ht="49.5">
      <c r="A4" s="330"/>
      <c r="B4" s="327" t="s">
        <v>237</v>
      </c>
      <c r="C4" s="327" t="s">
        <v>115</v>
      </c>
      <c r="D4" s="327" t="s">
        <v>118</v>
      </c>
      <c r="E4" s="327" t="str">
        <f>" Cx vs 8.0 (MAX)
(g)"</f>
        <v> Cx vs 8.0 (MAX)
(g)</v>
      </c>
      <c r="F4" s="327" t="str">
        <f>"Cx vs 8.0 (MIN)
(g)"</f>
        <v>Cx vs 8.0 (MIN)
(g)</v>
      </c>
      <c r="G4" s="327" t="s">
        <v>608</v>
      </c>
      <c r="H4" s="327" t="s">
        <v>599</v>
      </c>
      <c r="I4" s="327" t="s">
        <v>600</v>
      </c>
      <c r="J4" s="327" t="s">
        <v>116</v>
      </c>
      <c r="K4" s="327" t="s">
        <v>117</v>
      </c>
      <c r="L4" s="327" t="s">
        <v>601</v>
      </c>
      <c r="M4" s="328" t="s">
        <v>602</v>
      </c>
    </row>
    <row r="5" spans="1:13" s="101" customFormat="1" ht="14.25">
      <c r="A5" s="329" t="s">
        <v>603</v>
      </c>
      <c r="B5" s="331">
        <f>IF(Tech_Int="","",Tech_Int)</f>
      </c>
      <c r="C5" s="332">
        <f>IF(Cal_Date="","",Cal_Date)</f>
      </c>
      <c r="D5" s="331">
        <f>IF(RptNo="","",RptNo&amp;" AF")</f>
      </c>
      <c r="E5" s="333">
        <f>IF(Nx="","",(MAX(Calculations!H5:I7)-Nx)*453.59237)</f>
      </c>
      <c r="F5" s="333">
        <f>IF(Nx="","",(MIN(Calculations!H5:I7)-Nx)*453.59237)</f>
      </c>
      <c r="G5" s="334">
        <f>IF(Balance="","",Balance)</f>
      </c>
      <c r="H5" s="334">
        <f>IF(t_1="","",t_1)</f>
      </c>
      <c r="I5" s="334">
        <f>IF(t_2="","",t_2)</f>
      </c>
      <c r="J5" s="334">
        <f>IF(P_1="","",P_1)</f>
      </c>
      <c r="K5" s="334">
        <f>IF(P_2="","",P_2)</f>
      </c>
      <c r="L5" s="334">
        <f>IF(U_1="","",U_1)</f>
      </c>
      <c r="M5" s="335">
        <f>IF(U_2="","",U_2)</f>
      </c>
    </row>
    <row r="6" spans="1:13" s="101" customFormat="1" ht="14.25">
      <c r="A6" s="329" t="s">
        <v>604</v>
      </c>
      <c r="B6" s="331">
        <f>IF(Tech_Int="","",Tech_Int)</f>
      </c>
      <c r="C6" s="332">
        <f>IF(Cal_Date="","",Cal_Date)</f>
      </c>
      <c r="D6" s="331">
        <f>IF(RptNo="","",RptNo&amp;" AL")</f>
      </c>
      <c r="E6" s="333">
        <f>IF(Nx="","",(MAX(Calculations!H13:I15)-Nx)*453.59237)</f>
      </c>
      <c r="F6" s="336">
        <f>IF(Nx="","",(MIN(Calculations!H13:I15)-Nx)*453.59237)</f>
      </c>
      <c r="G6" s="334">
        <f>IF(Balance="","",Balance)</f>
      </c>
      <c r="H6" s="334">
        <f>IF(t_1_left="","",t_1_left)</f>
      </c>
      <c r="I6" s="334">
        <f>IF(t_2_left="","",t_2_left)</f>
      </c>
      <c r="J6" s="334">
        <f>IF(P_1_left="","",P_1_left)</f>
      </c>
      <c r="K6" s="334">
        <f>IF(P_2_left="","",P_2_left)</f>
      </c>
      <c r="L6" s="334">
        <f>IF(U_1_left="","",U_1_left)</f>
      </c>
      <c r="M6" s="335">
        <f>IF(U_2_left="","",U_2_left)</f>
      </c>
    </row>
    <row r="7" ht="12.75" customHeight="1"/>
    <row r="8" ht="12.75" hidden="1"/>
    <row r="9" ht="12.75" hidden="1"/>
    <row r="10" ht="12.75" hidden="1"/>
    <row r="11" ht="12.75" hidden="1"/>
    <row r="12" ht="12.75" hidden="1"/>
    <row r="13" ht="12.75" hidden="1"/>
    <row r="14" ht="12.75" hidden="1"/>
  </sheetData>
  <sheetProtection password="83AF" sheet="1" objects="1" scenarios="1"/>
  <mergeCells count="1">
    <mergeCell ref="A2:M2"/>
  </mergeCells>
  <conditionalFormatting sqref="B5:M6">
    <cfRule type="expression" priority="3" dxfId="7" stopIfTrue="1">
      <formula>VLOOKUP(Process,Process.Table,2)=1</formula>
    </cfRule>
  </conditionalFormatting>
  <printOptions/>
  <pageMargins left="0.75" right="0.75" top="1" bottom="1" header="0.5" footer="0.5"/>
  <pageSetup fitToHeight="1" fitToWidth="1" horizontalDpi="1200" verticalDpi="1200" orientation="landscape" r:id="rId1"/>
  <headerFooter alignWithMargins="0">
    <oddHeader>&amp;L&amp;"Trebuchet MS,Regular"&amp;12Calibration of Weight Carts&amp;R&amp;"Trebuchet MS,Regular"&amp;12WAMRF-010, Rev. 07, 11/6/2014</oddHeader>
    <oddFooter>&amp;L&amp;"Trebuchet MS,Regular"&amp;12&amp;F&amp;R&amp;"Trebuchet MS,Regular"&amp;12&amp;A Worksheet Page &amp;P of &amp;N</oddFooter>
  </headerFooter>
</worksheet>
</file>

<file path=xl/worksheets/sheet8.xml><?xml version="1.0" encoding="utf-8"?>
<worksheet xmlns="http://schemas.openxmlformats.org/spreadsheetml/2006/main" xmlns:r="http://schemas.openxmlformats.org/officeDocument/2006/relationships">
  <sheetPr>
    <tabColor indexed="50"/>
  </sheetPr>
  <dimension ref="A1:M120"/>
  <sheetViews>
    <sheetView showGridLines="0" zoomScalePageLayoutView="0" workbookViewId="0" topLeftCell="A1">
      <selection activeCell="H1" sqref="H1:J1"/>
    </sheetView>
  </sheetViews>
  <sheetFormatPr defaultColWidth="0" defaultRowHeight="12.75" zeroHeight="1"/>
  <cols>
    <col min="1" max="10" width="9.7109375" style="15" customWidth="1"/>
    <col min="11" max="11" width="1.7109375" style="15" customWidth="1"/>
    <col min="12" max="12" width="16.421875" style="15" hidden="1" customWidth="1"/>
    <col min="13" max="13" width="3.7109375" style="15" hidden="1" customWidth="1"/>
    <col min="14" max="16384" width="0" style="15" hidden="1" customWidth="1"/>
  </cols>
  <sheetData>
    <row r="1" spans="1:13" ht="19.5" thickBot="1">
      <c r="A1" s="36" t="s">
        <v>53</v>
      </c>
      <c r="B1" s="22"/>
      <c r="C1" s="22"/>
      <c r="D1" s="22"/>
      <c r="E1" s="21"/>
      <c r="F1" s="21"/>
      <c r="G1" s="45" t="s">
        <v>41</v>
      </c>
      <c r="H1" s="521"/>
      <c r="I1" s="521"/>
      <c r="J1" s="521"/>
      <c r="L1" s="17"/>
      <c r="M1" s="18"/>
    </row>
    <row r="2" spans="1:13" ht="12" customHeight="1">
      <c r="A2" s="16"/>
      <c r="B2" s="16"/>
      <c r="C2" s="16"/>
      <c r="D2" s="16"/>
      <c r="E2" s="16"/>
      <c r="F2" s="16"/>
      <c r="G2" s="16"/>
      <c r="H2" s="16"/>
      <c r="I2" s="16"/>
      <c r="J2" s="16"/>
      <c r="L2" s="17"/>
      <c r="M2" s="18"/>
    </row>
    <row r="3" spans="1:13" ht="19.5" customHeight="1" thickBot="1">
      <c r="A3" s="19" t="s">
        <v>1</v>
      </c>
      <c r="B3" s="20"/>
      <c r="C3" s="20"/>
      <c r="D3" s="20"/>
      <c r="E3" s="20"/>
      <c r="F3" s="20"/>
      <c r="G3" s="20"/>
      <c r="H3" s="43"/>
      <c r="I3" s="20"/>
      <c r="J3" s="20"/>
      <c r="L3" s="17"/>
      <c r="M3" s="18"/>
    </row>
    <row r="4" spans="1:13" ht="19.5" customHeight="1">
      <c r="A4" s="529"/>
      <c r="B4" s="530"/>
      <c r="C4" s="530"/>
      <c r="D4" s="530"/>
      <c r="E4" s="530"/>
      <c r="F4" s="531"/>
      <c r="G4" s="582" t="s">
        <v>113</v>
      </c>
      <c r="H4" s="549"/>
      <c r="I4" s="639"/>
      <c r="J4" s="340"/>
      <c r="L4" s="17"/>
      <c r="M4" s="18"/>
    </row>
    <row r="5" spans="1:13" ht="19.5" customHeight="1">
      <c r="A5" s="532"/>
      <c r="B5" s="533"/>
      <c r="C5" s="533"/>
      <c r="D5" s="533"/>
      <c r="E5" s="533"/>
      <c r="F5" s="534"/>
      <c r="G5" s="366" t="s">
        <v>4</v>
      </c>
      <c r="H5" s="519"/>
      <c r="I5" s="520"/>
      <c r="J5" s="544"/>
      <c r="L5" s="17"/>
      <c r="M5" s="18"/>
    </row>
    <row r="6" spans="1:13" ht="19.5" customHeight="1">
      <c r="A6" s="532"/>
      <c r="B6" s="533"/>
      <c r="C6" s="533"/>
      <c r="D6" s="533"/>
      <c r="E6" s="533"/>
      <c r="F6" s="534"/>
      <c r="G6" s="367" t="s">
        <v>2</v>
      </c>
      <c r="H6" s="519"/>
      <c r="I6" s="520"/>
      <c r="J6" s="544"/>
      <c r="L6" s="17"/>
      <c r="M6" s="18"/>
    </row>
    <row r="7" spans="1:13" ht="19.5" customHeight="1" thickBot="1">
      <c r="A7" s="645"/>
      <c r="B7" s="646"/>
      <c r="C7" s="646"/>
      <c r="D7" s="646"/>
      <c r="E7" s="646"/>
      <c r="F7" s="647"/>
      <c r="G7" s="352" t="s">
        <v>3</v>
      </c>
      <c r="H7" s="577"/>
      <c r="I7" s="578"/>
      <c r="J7" s="648"/>
      <c r="L7" s="17"/>
      <c r="M7" s="18"/>
    </row>
    <row r="8" spans="1:13" ht="12" customHeight="1">
      <c r="A8" s="16"/>
      <c r="B8" s="16"/>
      <c r="C8" s="16"/>
      <c r="D8" s="16"/>
      <c r="E8" s="16"/>
      <c r="F8" s="16"/>
      <c r="G8" s="16"/>
      <c r="L8" s="17"/>
      <c r="M8" s="18"/>
    </row>
    <row r="9" spans="1:13" ht="19.5" customHeight="1" thickBot="1">
      <c r="A9" s="19" t="s">
        <v>5</v>
      </c>
      <c r="B9" s="20"/>
      <c r="C9" s="20"/>
      <c r="D9" s="20"/>
      <c r="E9" s="20"/>
      <c r="F9" s="20"/>
      <c r="G9" s="20"/>
      <c r="H9" s="20"/>
      <c r="I9" s="20"/>
      <c r="J9" s="20"/>
      <c r="L9" s="17"/>
      <c r="M9" s="18"/>
    </row>
    <row r="10" spans="1:13" ht="19.5" customHeight="1">
      <c r="A10" s="612" t="s">
        <v>6</v>
      </c>
      <c r="B10" s="613"/>
      <c r="C10" s="545" t="s">
        <v>546</v>
      </c>
      <c r="D10" s="546"/>
      <c r="E10" s="546"/>
      <c r="F10" s="642" t="s">
        <v>69</v>
      </c>
      <c r="G10" s="643"/>
      <c r="H10" s="644"/>
      <c r="I10" s="606"/>
      <c r="J10" s="607"/>
      <c r="L10" s="17"/>
      <c r="M10" s="18"/>
    </row>
    <row r="11" spans="1:13" ht="19.5" customHeight="1">
      <c r="A11" s="489" t="s">
        <v>7</v>
      </c>
      <c r="B11" s="640"/>
      <c r="C11" s="519"/>
      <c r="D11" s="517"/>
      <c r="E11" s="517"/>
      <c r="F11" s="535" t="s">
        <v>510</v>
      </c>
      <c r="G11" s="610"/>
      <c r="H11" s="611"/>
      <c r="I11" s="615"/>
      <c r="J11" s="616"/>
      <c r="L11" s="17"/>
      <c r="M11" s="18"/>
    </row>
    <row r="12" spans="1:13" ht="19.5" customHeight="1">
      <c r="A12" s="489" t="s">
        <v>8</v>
      </c>
      <c r="B12" s="614"/>
      <c r="C12" s="491"/>
      <c r="D12" s="491"/>
      <c r="E12" s="491"/>
      <c r="F12" s="535" t="s">
        <v>121</v>
      </c>
      <c r="G12" s="511"/>
      <c r="H12" s="576"/>
      <c r="I12" s="520"/>
      <c r="J12" s="544"/>
      <c r="L12" s="17"/>
      <c r="M12" s="18"/>
    </row>
    <row r="13" spans="1:13" ht="19.5" customHeight="1">
      <c r="A13" s="510" t="s">
        <v>417</v>
      </c>
      <c r="B13" s="609"/>
      <c r="C13" s="519"/>
      <c r="D13" s="520"/>
      <c r="E13" s="641"/>
      <c r="F13" s="524" t="s">
        <v>46</v>
      </c>
      <c r="G13" s="608"/>
      <c r="H13" s="609"/>
      <c r="I13" s="617"/>
      <c r="J13" s="618"/>
      <c r="L13" s="17"/>
      <c r="M13" s="18"/>
    </row>
    <row r="14" spans="1:13" ht="19.5" customHeight="1">
      <c r="A14" s="489" t="s">
        <v>61</v>
      </c>
      <c r="B14" s="490"/>
      <c r="C14" s="492" t="s">
        <v>397</v>
      </c>
      <c r="D14" s="522"/>
      <c r="E14" s="523"/>
      <c r="F14" s="490" t="s">
        <v>59</v>
      </c>
      <c r="G14" s="490"/>
      <c r="H14" s="490"/>
      <c r="I14" s="491"/>
      <c r="J14" s="505"/>
      <c r="L14" s="17"/>
      <c r="M14" s="18"/>
    </row>
    <row r="15" spans="1:13" ht="19.5" customHeight="1">
      <c r="A15" s="508" t="s">
        <v>109</v>
      </c>
      <c r="B15" s="509"/>
      <c r="C15" s="492" t="s">
        <v>112</v>
      </c>
      <c r="D15" s="527"/>
      <c r="E15" s="528"/>
      <c r="F15" s="524" t="s">
        <v>398</v>
      </c>
      <c r="G15" s="525"/>
      <c r="H15" s="526"/>
      <c r="I15" s="492">
        <f>IF(Nx="","",VLOOKUP(Nx,Tol,2))</f>
      </c>
      <c r="J15" s="493"/>
      <c r="L15" s="17"/>
      <c r="M15" s="18"/>
    </row>
    <row r="16" spans="1:13" ht="19.5" customHeight="1">
      <c r="A16" s="489" t="s">
        <v>717</v>
      </c>
      <c r="B16" s="490"/>
      <c r="C16" s="339"/>
      <c r="D16" s="426" t="s">
        <v>130</v>
      </c>
      <c r="E16" s="491"/>
      <c r="F16" s="491"/>
      <c r="G16" s="427" t="s">
        <v>718</v>
      </c>
      <c r="H16" s="339"/>
      <c r="I16" s="426" t="s">
        <v>719</v>
      </c>
      <c r="J16" s="353"/>
      <c r="L16" s="17"/>
      <c r="M16" s="18"/>
    </row>
    <row r="17" spans="1:13" ht="19.5" customHeight="1">
      <c r="A17" s="510" t="s">
        <v>607</v>
      </c>
      <c r="B17" s="511"/>
      <c r="C17" s="511"/>
      <c r="D17" s="511"/>
      <c r="E17" s="576"/>
      <c r="F17" s="491"/>
      <c r="G17" s="491"/>
      <c r="H17" s="560" t="s">
        <v>377</v>
      </c>
      <c r="I17" s="562"/>
      <c r="J17" s="353"/>
      <c r="L17" s="17"/>
      <c r="M17" s="18"/>
    </row>
    <row r="18" spans="1:13" ht="19.5" customHeight="1">
      <c r="A18" s="510" t="str">
        <f>"Range Mean from Control Chart for Balance at "&amp;Nx&amp;" lb load (g)"</f>
        <v>Range Mean from Control Chart for Balance at  lb load (g)</v>
      </c>
      <c r="B18" s="511"/>
      <c r="C18" s="511"/>
      <c r="D18" s="511"/>
      <c r="E18" s="511"/>
      <c r="F18" s="511"/>
      <c r="G18" s="511"/>
      <c r="H18" s="576"/>
      <c r="I18" s="491"/>
      <c r="J18" s="505"/>
      <c r="L18" s="17"/>
      <c r="M18" s="18"/>
    </row>
    <row r="19" spans="1:10" ht="19.5" customHeight="1">
      <c r="A19" s="510" t="str">
        <f>IF(BalUnit="","Accredited Unc (e.g, NVLAP,A2LA, etc.)","Accredited Unc (e.g, NVLAP,A2LA, etc.) (g)")</f>
        <v>Accredited Unc (e.g, NVLAP,A2LA, etc.)</v>
      </c>
      <c r="B19" s="511"/>
      <c r="C19" s="511"/>
      <c r="D19" s="576"/>
      <c r="E19" s="580"/>
      <c r="F19" s="581"/>
      <c r="G19" s="382" t="s">
        <v>473</v>
      </c>
      <c r="H19" s="383"/>
      <c r="I19" s="381" t="s">
        <v>378</v>
      </c>
      <c r="J19" s="353"/>
    </row>
    <row r="20" spans="1:10" ht="19.5" customHeight="1">
      <c r="A20" s="622" t="s">
        <v>57</v>
      </c>
      <c r="B20" s="623"/>
      <c r="C20" s="623"/>
      <c r="D20" s="623"/>
      <c r="E20" s="623"/>
      <c r="F20" s="339"/>
      <c r="G20" s="490" t="s">
        <v>58</v>
      </c>
      <c r="H20" s="490"/>
      <c r="I20" s="490"/>
      <c r="J20" s="353"/>
    </row>
    <row r="21" spans="1:10" ht="19.5" customHeight="1" thickBot="1">
      <c r="A21" s="550" t="s">
        <v>52</v>
      </c>
      <c r="B21" s="551"/>
      <c r="C21" s="555"/>
      <c r="D21" s="556"/>
      <c r="E21" s="354" t="s">
        <v>60</v>
      </c>
      <c r="F21" s="577"/>
      <c r="G21" s="578"/>
      <c r="H21" s="579"/>
      <c r="I21" s="355" t="s">
        <v>119</v>
      </c>
      <c r="J21" s="356"/>
    </row>
    <row r="22" spans="1:10" ht="12" customHeight="1">
      <c r="A22" s="16"/>
      <c r="B22" s="16"/>
      <c r="C22" s="16"/>
      <c r="F22" s="16"/>
      <c r="G22" s="16"/>
      <c r="H22" s="16"/>
      <c r="I22" s="16"/>
      <c r="J22" s="16"/>
    </row>
    <row r="23" spans="1:13" ht="19.5" customHeight="1" thickBot="1">
      <c r="A23" s="19" t="s">
        <v>423</v>
      </c>
      <c r="B23" s="20"/>
      <c r="C23" s="20"/>
      <c r="D23" s="20"/>
      <c r="E23" s="20"/>
      <c r="F23" s="20"/>
      <c r="G23" s="20"/>
      <c r="H23" s="20"/>
      <c r="I23" s="20"/>
      <c r="J23" s="20"/>
      <c r="L23" s="17"/>
      <c r="M23" s="18"/>
    </row>
    <row r="24" spans="1:13" ht="19.5" customHeight="1">
      <c r="A24" s="548" t="s">
        <v>418</v>
      </c>
      <c r="B24" s="549"/>
      <c r="C24" s="545"/>
      <c r="D24" s="546"/>
      <c r="E24" s="582" t="s">
        <v>419</v>
      </c>
      <c r="F24" s="549"/>
      <c r="G24" s="549"/>
      <c r="H24" s="545"/>
      <c r="I24" s="546"/>
      <c r="J24" s="547"/>
      <c r="L24" s="17"/>
      <c r="M24" s="18"/>
    </row>
    <row r="25" spans="1:13" ht="19.5" customHeight="1">
      <c r="A25" s="510" t="s">
        <v>420</v>
      </c>
      <c r="B25" s="511"/>
      <c r="C25" s="519"/>
      <c r="D25" s="520"/>
      <c r="E25" s="535" t="s">
        <v>421</v>
      </c>
      <c r="F25" s="511"/>
      <c r="G25" s="511"/>
      <c r="H25" s="519"/>
      <c r="I25" s="520"/>
      <c r="J25" s="544"/>
      <c r="L25" s="17"/>
      <c r="M25" s="18"/>
    </row>
    <row r="26" spans="1:13" ht="19.5" customHeight="1">
      <c r="A26" s="510" t="s">
        <v>609</v>
      </c>
      <c r="B26" s="511"/>
      <c r="C26" s="519"/>
      <c r="D26" s="520"/>
      <c r="E26" s="535" t="s">
        <v>422</v>
      </c>
      <c r="F26" s="511"/>
      <c r="G26" s="511"/>
      <c r="H26" s="519"/>
      <c r="I26" s="520"/>
      <c r="J26" s="544"/>
      <c r="L26" s="17"/>
      <c r="M26" s="18"/>
    </row>
    <row r="27" spans="1:13" ht="19.5" customHeight="1">
      <c r="A27" s="510" t="s">
        <v>424</v>
      </c>
      <c r="B27" s="511"/>
      <c r="C27" s="337"/>
      <c r="D27" s="535" t="s">
        <v>425</v>
      </c>
      <c r="E27" s="511"/>
      <c r="F27" s="337"/>
      <c r="G27" s="535" t="s">
        <v>426</v>
      </c>
      <c r="H27" s="511"/>
      <c r="I27" s="511"/>
      <c r="J27" s="351"/>
      <c r="L27" s="17"/>
      <c r="M27" s="18"/>
    </row>
    <row r="28" spans="1:13" ht="19.5" customHeight="1">
      <c r="A28" s="357" t="s">
        <v>427</v>
      </c>
      <c r="B28" s="375" t="s">
        <v>428</v>
      </c>
      <c r="C28" s="519"/>
      <c r="D28" s="520"/>
      <c r="E28" s="375" t="s">
        <v>429</v>
      </c>
      <c r="F28" s="519"/>
      <c r="G28" s="520"/>
      <c r="H28" s="374" t="s">
        <v>430</v>
      </c>
      <c r="I28" s="519"/>
      <c r="J28" s="544"/>
      <c r="L28" s="17"/>
      <c r="M28" s="18"/>
    </row>
    <row r="29" spans="1:13" ht="19.5" customHeight="1">
      <c r="A29" s="510" t="s">
        <v>431</v>
      </c>
      <c r="B29" s="511"/>
      <c r="C29" s="511"/>
      <c r="D29" s="511"/>
      <c r="E29" s="511"/>
      <c r="F29" s="511"/>
      <c r="G29" s="511"/>
      <c r="H29" s="511"/>
      <c r="I29" s="519"/>
      <c r="J29" s="544"/>
      <c r="L29" s="17"/>
      <c r="M29" s="18"/>
    </row>
    <row r="30" spans="1:13" ht="19.5" customHeight="1">
      <c r="A30" s="510" t="s">
        <v>432</v>
      </c>
      <c r="B30" s="511"/>
      <c r="C30" s="511"/>
      <c r="D30" s="511"/>
      <c r="E30" s="511"/>
      <c r="F30" s="511"/>
      <c r="G30" s="511"/>
      <c r="H30" s="511"/>
      <c r="I30" s="519"/>
      <c r="J30" s="544"/>
      <c r="L30" s="17"/>
      <c r="M30" s="18"/>
    </row>
    <row r="31" spans="1:13" ht="19.5" customHeight="1">
      <c r="A31" s="510" t="s">
        <v>433</v>
      </c>
      <c r="B31" s="511"/>
      <c r="C31" s="511"/>
      <c r="D31" s="511"/>
      <c r="E31" s="511"/>
      <c r="F31" s="511"/>
      <c r="G31" s="511"/>
      <c r="H31" s="511"/>
      <c r="I31" s="519"/>
      <c r="J31" s="544"/>
      <c r="L31" s="17"/>
      <c r="M31" s="18"/>
    </row>
    <row r="32" spans="1:13" ht="19.5" customHeight="1">
      <c r="A32" s="510" t="s">
        <v>434</v>
      </c>
      <c r="B32" s="511"/>
      <c r="C32" s="511"/>
      <c r="D32" s="511"/>
      <c r="E32" s="511"/>
      <c r="F32" s="511"/>
      <c r="G32" s="511"/>
      <c r="H32" s="511"/>
      <c r="I32" s="519"/>
      <c r="J32" s="544"/>
      <c r="L32" s="17"/>
      <c r="M32" s="18"/>
    </row>
    <row r="33" spans="1:13" ht="19.5" customHeight="1">
      <c r="A33" s="557" t="s">
        <v>435</v>
      </c>
      <c r="B33" s="558"/>
      <c r="C33" s="268" t="s">
        <v>436</v>
      </c>
      <c r="D33" s="338"/>
      <c r="E33" s="376" t="s">
        <v>437</v>
      </c>
      <c r="F33" s="338"/>
      <c r="G33" s="524" t="s">
        <v>438</v>
      </c>
      <c r="H33" s="638"/>
      <c r="I33" s="638"/>
      <c r="J33" s="353"/>
      <c r="L33" s="17"/>
      <c r="M33" s="18"/>
    </row>
    <row r="34" spans="1:13" ht="19.5" customHeight="1">
      <c r="A34" s="510" t="s">
        <v>439</v>
      </c>
      <c r="B34" s="511"/>
      <c r="C34" s="511"/>
      <c r="D34" s="511"/>
      <c r="E34" s="511"/>
      <c r="F34" s="511"/>
      <c r="G34" s="511"/>
      <c r="H34" s="511"/>
      <c r="I34" s="519"/>
      <c r="J34" s="544"/>
      <c r="L34" s="17"/>
      <c r="M34" s="18"/>
    </row>
    <row r="35" spans="1:13" ht="19.5" customHeight="1">
      <c r="A35" s="510" t="s">
        <v>440</v>
      </c>
      <c r="B35" s="511"/>
      <c r="C35" s="511"/>
      <c r="D35" s="511"/>
      <c r="E35" s="511"/>
      <c r="F35" s="511"/>
      <c r="G35" s="511"/>
      <c r="H35" s="511"/>
      <c r="I35" s="519"/>
      <c r="J35" s="544"/>
      <c r="L35" s="17"/>
      <c r="M35" s="18"/>
    </row>
    <row r="36" spans="1:13" ht="19.5" customHeight="1">
      <c r="A36" s="510" t="s">
        <v>441</v>
      </c>
      <c r="B36" s="511"/>
      <c r="C36" s="511"/>
      <c r="D36" s="511"/>
      <c r="E36" s="511"/>
      <c r="F36" s="511"/>
      <c r="G36" s="511"/>
      <c r="H36" s="511"/>
      <c r="I36" s="519"/>
      <c r="J36" s="544"/>
      <c r="L36" s="17"/>
      <c r="M36" s="18"/>
    </row>
    <row r="37" spans="1:13" ht="39" customHeight="1">
      <c r="A37" s="590" t="s">
        <v>442</v>
      </c>
      <c r="B37" s="591"/>
      <c r="C37" s="591"/>
      <c r="D37" s="591"/>
      <c r="E37" s="591"/>
      <c r="F37" s="591"/>
      <c r="G37" s="591"/>
      <c r="H37" s="591"/>
      <c r="I37" s="591"/>
      <c r="J37" s="592"/>
      <c r="L37" s="17"/>
      <c r="M37" s="18"/>
    </row>
    <row r="38" spans="1:13" ht="39" customHeight="1">
      <c r="A38" s="619"/>
      <c r="B38" s="620"/>
      <c r="C38" s="620"/>
      <c r="D38" s="620"/>
      <c r="E38" s="620"/>
      <c r="F38" s="620"/>
      <c r="G38" s="620"/>
      <c r="H38" s="620"/>
      <c r="I38" s="620"/>
      <c r="J38" s="621"/>
      <c r="L38" s="17"/>
      <c r="M38" s="18"/>
    </row>
    <row r="39" spans="1:13" ht="39" customHeight="1">
      <c r="A39" s="590" t="s">
        <v>443</v>
      </c>
      <c r="B39" s="591"/>
      <c r="C39" s="591"/>
      <c r="D39" s="591"/>
      <c r="E39" s="591"/>
      <c r="F39" s="591"/>
      <c r="G39" s="591"/>
      <c r="H39" s="591"/>
      <c r="I39" s="591"/>
      <c r="J39" s="592"/>
      <c r="L39" s="17"/>
      <c r="M39" s="18"/>
    </row>
    <row r="40" spans="1:13" ht="39" customHeight="1" thickBot="1">
      <c r="A40" s="552"/>
      <c r="B40" s="553"/>
      <c r="C40" s="553"/>
      <c r="D40" s="553"/>
      <c r="E40" s="553"/>
      <c r="F40" s="553"/>
      <c r="G40" s="553"/>
      <c r="H40" s="553"/>
      <c r="I40" s="553"/>
      <c r="J40" s="554"/>
      <c r="L40" s="17"/>
      <c r="M40" s="18"/>
    </row>
    <row r="41" spans="1:10" ht="12" customHeight="1">
      <c r="A41" s="16"/>
      <c r="B41" s="16"/>
      <c r="C41" s="16"/>
      <c r="F41" s="16"/>
      <c r="G41" s="16"/>
      <c r="H41" s="16"/>
      <c r="I41" s="16"/>
      <c r="J41" s="16"/>
    </row>
    <row r="42" spans="1:10" ht="18.75" thickBot="1">
      <c r="A42" s="111" t="s">
        <v>122</v>
      </c>
      <c r="B42" s="112"/>
      <c r="C42" s="112"/>
      <c r="D42" s="112"/>
      <c r="E42" s="112"/>
      <c r="F42" s="112"/>
      <c r="G42" s="112"/>
      <c r="H42" s="113"/>
      <c r="I42" s="114"/>
      <c r="J42" s="17"/>
    </row>
    <row r="43" spans="1:10" ht="15.75">
      <c r="A43" s="540" t="s">
        <v>124</v>
      </c>
      <c r="B43" s="541"/>
      <c r="C43" s="541"/>
      <c r="D43" s="541"/>
      <c r="E43" s="541"/>
      <c r="F43" s="541"/>
      <c r="G43" s="541"/>
      <c r="H43" s="541"/>
      <c r="I43" s="542"/>
      <c r="J43" s="117"/>
    </row>
    <row r="44" spans="1:10" ht="30">
      <c r="A44" s="626" t="s">
        <v>14</v>
      </c>
      <c r="B44" s="627"/>
      <c r="C44" s="628"/>
      <c r="D44" s="538" t="s">
        <v>8</v>
      </c>
      <c r="E44" s="539"/>
      <c r="F44" s="498" t="s">
        <v>118</v>
      </c>
      <c r="G44" s="498"/>
      <c r="H44" s="341" t="s">
        <v>52</v>
      </c>
      <c r="I44" s="342" t="s">
        <v>123</v>
      </c>
      <c r="J44" s="16"/>
    </row>
    <row r="45" spans="1:10" ht="15.75">
      <c r="A45" s="629"/>
      <c r="B45" s="630"/>
      <c r="C45" s="631"/>
      <c r="D45" s="543"/>
      <c r="E45" s="543"/>
      <c r="F45" s="543"/>
      <c r="G45" s="543"/>
      <c r="H45" s="317"/>
      <c r="I45" s="358"/>
      <c r="J45" s="16"/>
    </row>
    <row r="46" spans="1:10" ht="16.5" thickBot="1">
      <c r="A46" s="583"/>
      <c r="B46" s="584"/>
      <c r="C46" s="585"/>
      <c r="D46" s="565"/>
      <c r="E46" s="565"/>
      <c r="F46" s="565"/>
      <c r="G46" s="565"/>
      <c r="H46" s="359"/>
      <c r="I46" s="360"/>
      <c r="J46" s="16"/>
    </row>
    <row r="47" spans="1:10" ht="12" customHeight="1">
      <c r="A47" s="16"/>
      <c r="B47" s="16"/>
      <c r="C47" s="16"/>
      <c r="F47" s="16"/>
      <c r="G47" s="16"/>
      <c r="H47" s="16"/>
      <c r="I47" s="16"/>
      <c r="J47" s="16"/>
    </row>
    <row r="48" spans="1:10" ht="17.25" thickBot="1">
      <c r="A48" s="369" t="s">
        <v>0</v>
      </c>
      <c r="B48" s="32"/>
      <c r="C48" s="32"/>
      <c r="D48" s="32"/>
      <c r="E48" s="32"/>
      <c r="F48" s="32"/>
      <c r="G48" s="32"/>
      <c r="H48" s="32"/>
      <c r="I48" s="32"/>
      <c r="J48" s="32"/>
    </row>
    <row r="49" spans="1:10" ht="15.75">
      <c r="A49" s="361" t="s">
        <v>574</v>
      </c>
      <c r="B49" s="146"/>
      <c r="C49" s="146"/>
      <c r="D49" s="146"/>
      <c r="E49" s="146"/>
      <c r="F49" s="146"/>
      <c r="G49" s="146"/>
      <c r="H49" s="146"/>
      <c r="I49" s="146"/>
      <c r="J49" s="379"/>
    </row>
    <row r="50" spans="1:10" ht="45" customHeight="1">
      <c r="A50" s="362" t="s">
        <v>51</v>
      </c>
      <c r="B50" s="588" t="s">
        <v>47</v>
      </c>
      <c r="C50" s="589"/>
      <c r="D50" s="586" t="s">
        <v>406</v>
      </c>
      <c r="E50" s="587"/>
      <c r="F50" s="624" t="s">
        <v>407</v>
      </c>
      <c r="G50" s="625"/>
      <c r="H50" s="378" t="s">
        <v>378</v>
      </c>
      <c r="I50" s="261" t="s">
        <v>622</v>
      </c>
      <c r="J50" s="363" t="s">
        <v>623</v>
      </c>
    </row>
    <row r="51" spans="1:10" ht="16.5">
      <c r="A51" s="362" t="s">
        <v>567</v>
      </c>
      <c r="B51" s="506"/>
      <c r="C51" s="507"/>
      <c r="D51" s="506"/>
      <c r="E51" s="507"/>
      <c r="F51" s="506"/>
      <c r="G51" s="507"/>
      <c r="H51" s="404"/>
      <c r="I51" s="404"/>
      <c r="J51" s="405"/>
    </row>
    <row r="52" spans="1:10" ht="16.5">
      <c r="A52" s="362" t="s">
        <v>568</v>
      </c>
      <c r="B52" s="506"/>
      <c r="C52" s="507"/>
      <c r="D52" s="506"/>
      <c r="E52" s="507"/>
      <c r="F52" s="506"/>
      <c r="G52" s="507"/>
      <c r="H52" s="404"/>
      <c r="I52" s="404"/>
      <c r="J52" s="405"/>
    </row>
    <row r="53" spans="1:10" ht="16.5">
      <c r="A53" s="362" t="s">
        <v>569</v>
      </c>
      <c r="B53" s="506"/>
      <c r="C53" s="507"/>
      <c r="D53" s="506"/>
      <c r="E53" s="507"/>
      <c r="F53" s="506"/>
      <c r="G53" s="507"/>
      <c r="H53" s="404"/>
      <c r="I53" s="404"/>
      <c r="J53" s="405"/>
    </row>
    <row r="54" spans="1:10" ht="16.5">
      <c r="A54" s="362" t="s">
        <v>570</v>
      </c>
      <c r="B54" s="506"/>
      <c r="C54" s="507"/>
      <c r="D54" s="506"/>
      <c r="E54" s="507"/>
      <c r="F54" s="506"/>
      <c r="G54" s="507"/>
      <c r="H54" s="404"/>
      <c r="I54" s="404"/>
      <c r="J54" s="405"/>
    </row>
    <row r="55" spans="1:10" ht="16.5">
      <c r="A55" s="362" t="s">
        <v>571</v>
      </c>
      <c r="B55" s="506"/>
      <c r="C55" s="507"/>
      <c r="D55" s="506"/>
      <c r="E55" s="507"/>
      <c r="F55" s="506"/>
      <c r="G55" s="507"/>
      <c r="H55" s="404"/>
      <c r="I55" s="404"/>
      <c r="J55" s="405"/>
    </row>
    <row r="56" spans="1:10" ht="15.75">
      <c r="A56" s="368" t="s">
        <v>10</v>
      </c>
      <c r="B56" s="536">
        <f>IF(B51="","",SUM(B51:B55))</f>
      </c>
      <c r="C56" s="537"/>
      <c r="D56" s="536">
        <f>IF(B51="","",SUM(D51:D55))</f>
      </c>
      <c r="E56" s="537"/>
      <c r="F56" s="536">
        <f>IF(B51="","",IF(AND(ISNUMBER(B51),B52=""),F51/H51,IF(AND(ISNUMBER(B51),ISNUMBER(B52),B53=""),SUM(F51/H51+F52/H52),IF(AND(ISNUMBER(B51),ISNUMBER(B52),ISNUMBER(B53),B54=""),SUM(F51/H51+F52/H52+F53/H53),IF(AND(ISNUMBER(B51),ISNUMBER(B52),ISNUMBER(B53),ISNUMBER(B54),B55=""),SUM(F51/H51+F52/H52+F53/H53+F54/H54),SUM(F51/H51+F52/H52+F53/H53+F54/H54+F55/H55))))))</f>
      </c>
      <c r="G56" s="537"/>
      <c r="H56" s="406">
        <f>IF(B51="","",1)</f>
      </c>
      <c r="I56" s="406">
        <f>IF(B51="","",IF(AND(B52="",B53="",B54=""),I51,IF(AND(ISNUMBER(B51),ISNUMBER(B52),B53="",B54=""),ROUNDDOWN(SQRT(((F51/H51)*I51^2+(F52/H52)*I52^2)/SUM((F51/H51)+(F52/H52))),0),IF(AND(ISNUMBER(B51),ISNUMBER(B52),ISNUMBER(B53),B54=""),ROUNDDOWN(SQRT(((F51/H51)*I51^2+(F52/H52)*I52^2+(F53/H53)*I53^2)/SUM((F51/H51)+(F52/H52)+(F53/H53))),0),IF(AND(ISNUMBER(B51),ISNUMBER(B52),ISNUMBER(B53),ISNUMBER(B54),B55=""),ROUNDDOWN(SQRT(((F51/H51)*I51^2+(F52/H52)*I52^2+(F53/H53)*I53^2+(F54/H54)*I54^2)/SUM((F51/H51)+(F52/H52)+(F53/H53)+(F54/H54))),0),ROUNDDOWN(SQRT(((F51/H51)*I51^2+(F52/H52)*I52^2+(F53/H53)*I53^2+(F54/H54)*I54^2+(F55/H55)*I55^2)/SUM((F51/H51)+(F52/H52)+(F53/H53)+(F54/H54)+(F55/H55))),0))))))</f>
      </c>
      <c r="J56" s="407">
        <f>IF(B51="","",IF(AND(ISNUMBER(B51),B52=""),J51,IF(AND(ISNUMBER(B51),ISNUMBER(B52),B53=""),(S+Cs/1000)/((B51+D51/1000)/J51+(B52+D52/1000)/J52),IF(AND(ISNUMBER(B51),ISNUMBER(B52),ISNUMBER(B53),B54=""),(S+Cs/1000)/((B51+D51/1000)/J51+(B52+D52/1000)/J52+(B53+D53/1000)/J53),IF(AND(ISNUMBER(B51),ISNUMBER(B52),ISNUMBER(B53),ISNUMBER(B54),B55=""),(S+Cs/1000)/((B51+D51/1000)/J51+(B52+D52/1000)/J52+(B53+D53/1000)/J53+(B54+D54/1000)/J54),(S+Cs/1000)/((B51+D51/1000)/J51+(B52+D52/1000)/J52+(B53+D53/1000)/J53+(B54+D54/1000)/J54+(B55+D55/1000)/J55))))))</f>
      </c>
    </row>
    <row r="57" spans="1:10" ht="15.75">
      <c r="A57" s="364" t="s">
        <v>575</v>
      </c>
      <c r="B57" s="154"/>
      <c r="C57" s="154"/>
      <c r="D57" s="154"/>
      <c r="E57" s="154"/>
      <c r="F57" s="154"/>
      <c r="G57" s="154"/>
      <c r="H57" s="154"/>
      <c r="I57" s="154"/>
      <c r="J57" s="380"/>
    </row>
    <row r="58" spans="1:10" ht="16.5">
      <c r="A58" s="362" t="s">
        <v>572</v>
      </c>
      <c r="B58" s="506"/>
      <c r="C58" s="507"/>
      <c r="D58" s="506"/>
      <c r="E58" s="507"/>
      <c r="F58" s="506"/>
      <c r="G58" s="507"/>
      <c r="H58" s="404"/>
      <c r="I58" s="404"/>
      <c r="J58" s="408"/>
    </row>
    <row r="59" spans="1:10" ht="16.5">
      <c r="A59" s="362" t="s">
        <v>573</v>
      </c>
      <c r="B59" s="506"/>
      <c r="C59" s="507"/>
      <c r="D59" s="506"/>
      <c r="E59" s="507"/>
      <c r="F59" s="506"/>
      <c r="G59" s="507"/>
      <c r="H59" s="404"/>
      <c r="I59" s="404"/>
      <c r="J59" s="405"/>
    </row>
    <row r="60" spans="1:10" ht="15.75" customHeight="1" thickBot="1">
      <c r="A60" s="377" t="s">
        <v>11</v>
      </c>
      <c r="B60" s="595">
        <f>IF(B58="","",SUM(B58:B59))</f>
      </c>
      <c r="C60" s="596"/>
      <c r="D60" s="512">
        <f>IF(B58="","",SUM(D58:E59))</f>
      </c>
      <c r="E60" s="513"/>
      <c r="F60" s="595">
        <f>IF(B58="","",IF(AND(ISNUMBER(B58),B59=""),F58/H58,SUM(F58/H58+F59/H59)))</f>
      </c>
      <c r="G60" s="596"/>
      <c r="H60" s="403">
        <f>IF(B58="","",1)</f>
      </c>
      <c r="I60" s="403">
        <f>IF(B58="","",IF(B59="",I58,ROUNDDOWN(SQRT(((F58/H58)*I58^2+(F59/H59)*I59^2)/SUM((F58/H58)+(F59/H59))),0)))</f>
      </c>
      <c r="J60" s="409">
        <f>IF(B58="","",IF(AND(ISNUMBER(B58),B59=""),J58,(sw+Csw/1000)/((B58+D58/1000)/J58+(B59+D59/1000)/J59)))</f>
      </c>
    </row>
    <row r="61" ht="12" customHeight="1">
      <c r="J61" s="269"/>
    </row>
    <row r="62" spans="1:10" ht="17.25" thickBot="1">
      <c r="A62" s="27" t="s">
        <v>444</v>
      </c>
      <c r="B62" s="28"/>
      <c r="C62" s="28"/>
      <c r="D62" s="28"/>
      <c r="E62" s="28"/>
      <c r="F62" s="28"/>
      <c r="G62" s="29"/>
      <c r="H62" s="29"/>
      <c r="I62" s="29"/>
      <c r="J62" s="270"/>
    </row>
    <row r="63" spans="1:9" ht="12" customHeight="1">
      <c r="A63" s="514" t="s">
        <v>33</v>
      </c>
      <c r="B63" s="515"/>
      <c r="C63" s="242" t="s">
        <v>9</v>
      </c>
      <c r="D63" s="566" t="s">
        <v>12</v>
      </c>
      <c r="E63" s="567"/>
      <c r="F63" s="572" t="s">
        <v>379</v>
      </c>
      <c r="G63" s="573"/>
      <c r="H63" s="271" t="s">
        <v>378</v>
      </c>
      <c r="I63" s="432" t="s">
        <v>114</v>
      </c>
    </row>
    <row r="64" spans="1:9" ht="15.75">
      <c r="A64" s="593" t="s">
        <v>48</v>
      </c>
      <c r="B64" s="594"/>
      <c r="C64" s="147" t="s">
        <v>191</v>
      </c>
      <c r="D64" s="568"/>
      <c r="E64" s="569"/>
      <c r="F64" s="568"/>
      <c r="G64" s="569"/>
      <c r="H64" s="318"/>
      <c r="I64" s="433" t="s">
        <v>244</v>
      </c>
    </row>
    <row r="65" spans="1:9" ht="15.75">
      <c r="A65" s="593" t="s">
        <v>49</v>
      </c>
      <c r="B65" s="594"/>
      <c r="C65" s="147" t="s">
        <v>167</v>
      </c>
      <c r="D65" s="568"/>
      <c r="E65" s="569"/>
      <c r="F65" s="568"/>
      <c r="G65" s="569"/>
      <c r="H65" s="318"/>
      <c r="I65" s="433" t="s">
        <v>245</v>
      </c>
    </row>
    <row r="66" spans="1:9" ht="16.5" thickBot="1">
      <c r="A66" s="604" t="s">
        <v>34</v>
      </c>
      <c r="B66" s="605"/>
      <c r="C66" s="434" t="s">
        <v>77</v>
      </c>
      <c r="D66" s="602"/>
      <c r="E66" s="603"/>
      <c r="F66" s="602"/>
      <c r="G66" s="603"/>
      <c r="H66" s="435"/>
      <c r="I66" s="436" t="s">
        <v>246</v>
      </c>
    </row>
    <row r="67" spans="1:8" s="35" customFormat="1" ht="12" customHeight="1">
      <c r="A67" s="23"/>
      <c r="B67" s="23"/>
      <c r="C67" s="24"/>
      <c r="D67" s="24"/>
      <c r="E67" s="25"/>
      <c r="F67" s="26"/>
      <c r="G67" s="25"/>
      <c r="H67" s="16"/>
    </row>
    <row r="68" spans="1:10" s="35" customFormat="1" ht="17.25" thickBot="1">
      <c r="A68" s="649" t="s">
        <v>725</v>
      </c>
      <c r="B68" s="649"/>
      <c r="C68" s="649"/>
      <c r="D68" s="649"/>
      <c r="E68" s="649"/>
      <c r="F68" s="649"/>
      <c r="G68" s="649"/>
      <c r="H68" s="649"/>
      <c r="I68" s="649"/>
      <c r="J68" s="649"/>
    </row>
    <row r="69" spans="1:10" s="35" customFormat="1" ht="31.5" customHeight="1">
      <c r="A69" s="650" t="s">
        <v>726</v>
      </c>
      <c r="B69" s="651"/>
      <c r="C69" s="651"/>
      <c r="D69" s="651"/>
      <c r="E69" s="651"/>
      <c r="F69" s="651"/>
      <c r="G69" s="651"/>
      <c r="H69" s="651"/>
      <c r="I69" s="651"/>
      <c r="J69" s="652"/>
    </row>
    <row r="70" spans="1:10" s="35" customFormat="1" ht="16.5" customHeight="1">
      <c r="A70" s="428"/>
      <c r="B70" s="23"/>
      <c r="C70" s="429" t="str">
        <f>"1/3 of "&amp;Tol_Class&amp;" Tolerence ="</f>
        <v>1/3 of NIST HB 105-8 Tolerence =</v>
      </c>
      <c r="D70" s="653">
        <f>IF(Tolerance="","",Tolerance/3)</f>
      </c>
      <c r="E70" s="653"/>
      <c r="F70" s="430" t="s">
        <v>19</v>
      </c>
      <c r="G70" s="654">
        <f>IF(D71="","",IF(D71&lt;D70,"The Uncertainty Meets the Criteria, Report Findings.","The Uncertainty Does Not Meet the Criteria!"))</f>
      </c>
      <c r="H70" s="654"/>
      <c r="I70" s="654"/>
      <c r="J70" s="655"/>
    </row>
    <row r="71" spans="1:10" s="35" customFormat="1" ht="15.75">
      <c r="A71" s="428"/>
      <c r="B71" s="23"/>
      <c r="C71" s="429" t="s">
        <v>78</v>
      </c>
      <c r="D71" s="658">
        <f>IF(Final_U="","",Final_U/453.59237)</f>
      </c>
      <c r="E71" s="658"/>
      <c r="F71" s="430" t="s">
        <v>19</v>
      </c>
      <c r="G71" s="656"/>
      <c r="H71" s="656"/>
      <c r="I71" s="656"/>
      <c r="J71" s="657"/>
    </row>
    <row r="72" spans="1:10" s="35" customFormat="1" ht="17.25" thickBot="1">
      <c r="A72" s="659" t="s">
        <v>727</v>
      </c>
      <c r="B72" s="660"/>
      <c r="C72" s="660"/>
      <c r="D72" s="661">
        <f>IF(D70="","",D71/D70)</f>
      </c>
      <c r="E72" s="661"/>
      <c r="F72" s="431"/>
      <c r="G72" s="662">
        <f>IF(D70="","",IF(D72&lt;0.8,"Precision Test is less than 1, Passed",IF(AND(D72&gt;=0.8,D72&lt;1),"Precision Test is less than 1, Passed but high",IF(D72&gt;1,"Precision Test is greater than 1, Failed"))))</f>
      </c>
      <c r="H72" s="662"/>
      <c r="I72" s="662"/>
      <c r="J72" s="663"/>
    </row>
    <row r="73" spans="1:8" s="35" customFormat="1" ht="12" customHeight="1">
      <c r="A73" s="23"/>
      <c r="B73" s="23"/>
      <c r="C73" s="24"/>
      <c r="D73" s="24"/>
      <c r="E73" s="25"/>
      <c r="F73" s="26"/>
      <c r="G73" s="25"/>
      <c r="H73" s="16"/>
    </row>
    <row r="74" spans="1:10" ht="19.5" customHeight="1" thickBot="1">
      <c r="A74" s="19" t="s">
        <v>36</v>
      </c>
      <c r="B74" s="21"/>
      <c r="C74" s="21"/>
      <c r="D74" s="21"/>
      <c r="E74" s="21"/>
      <c r="F74" s="21"/>
      <c r="G74" s="21"/>
      <c r="H74" s="21"/>
      <c r="I74" s="21"/>
      <c r="J74"/>
    </row>
    <row r="75" spans="1:10" ht="19.5" customHeight="1">
      <c r="A75" s="563" t="s">
        <v>50</v>
      </c>
      <c r="B75" s="564"/>
      <c r="C75" s="283"/>
      <c r="D75" s="284" t="s">
        <v>32</v>
      </c>
      <c r="E75" s="285"/>
      <c r="F75" s="284" t="s">
        <v>31</v>
      </c>
      <c r="G75" s="285"/>
      <c r="H75" s="284" t="s">
        <v>26</v>
      </c>
      <c r="I75" s="265"/>
      <c r="J75" s="570" t="s">
        <v>445</v>
      </c>
    </row>
    <row r="76" spans="1:10" ht="19.5" customHeight="1">
      <c r="A76" s="499" t="s">
        <v>401</v>
      </c>
      <c r="B76" s="500"/>
      <c r="C76" s="501"/>
      <c r="D76" s="559" t="s">
        <v>13</v>
      </c>
      <c r="E76" s="500"/>
      <c r="F76" s="501"/>
      <c r="G76" s="560" t="str">
        <f>"Balance Readings ("&amp;IF(BalUnit="","",BalUnit)&amp;")"</f>
        <v>Balance Readings ()</v>
      </c>
      <c r="H76" s="561"/>
      <c r="I76" s="574"/>
      <c r="J76" s="571"/>
    </row>
    <row r="77" spans="1:10" ht="19.5" customHeight="1">
      <c r="A77" s="502">
        <v>1</v>
      </c>
      <c r="B77" s="503"/>
      <c r="C77" s="504"/>
      <c r="D77" s="560" t="s">
        <v>24</v>
      </c>
      <c r="E77" s="561"/>
      <c r="F77" s="562"/>
      <c r="G77" s="516"/>
      <c r="H77" s="517"/>
      <c r="I77" s="518"/>
      <c r="J77" s="497">
        <f>IF(Obs1_4="","",IF(AND(BalUnit="lb",ABS((Obs1_2-Obs1_1)-(Obs1_3-Obs1_4))*453.59237&lt;2*sp),"GO",IF(AND(BalUnit="g",ABS((Obs1_2-Obs1_1)-(Obs1_3-Obs1_4))&lt;2*sp),"GO","REPEAT")))</f>
      </c>
    </row>
    <row r="78" spans="1:10" ht="19.5" customHeight="1">
      <c r="A78" s="502">
        <v>2</v>
      </c>
      <c r="B78" s="503"/>
      <c r="C78" s="504"/>
      <c r="D78" s="560" t="s">
        <v>25</v>
      </c>
      <c r="E78" s="561"/>
      <c r="F78" s="562"/>
      <c r="G78" s="516"/>
      <c r="H78" s="517"/>
      <c r="I78" s="518"/>
      <c r="J78" s="497"/>
    </row>
    <row r="79" spans="1:10" ht="19.5" customHeight="1">
      <c r="A79" s="502">
        <v>3</v>
      </c>
      <c r="B79" s="503"/>
      <c r="C79" s="504"/>
      <c r="D79" s="560" t="s">
        <v>404</v>
      </c>
      <c r="E79" s="561"/>
      <c r="F79" s="562"/>
      <c r="G79" s="516"/>
      <c r="H79" s="517"/>
      <c r="I79" s="518"/>
      <c r="J79" s="497"/>
    </row>
    <row r="80" spans="1:10" ht="19.5" customHeight="1">
      <c r="A80" s="502" t="s">
        <v>391</v>
      </c>
      <c r="B80" s="503"/>
      <c r="C80" s="504"/>
      <c r="D80" s="560" t="s">
        <v>405</v>
      </c>
      <c r="E80" s="561"/>
      <c r="F80" s="562"/>
      <c r="G80" s="516"/>
      <c r="H80" s="517"/>
      <c r="I80" s="518"/>
      <c r="J80" s="497"/>
    </row>
    <row r="81" spans="1:10" ht="19.5" customHeight="1">
      <c r="A81" s="599" t="s">
        <v>400</v>
      </c>
      <c r="B81" s="600"/>
      <c r="C81" s="600"/>
      <c r="D81" s="600"/>
      <c r="E81" s="600"/>
      <c r="F81" s="600"/>
      <c r="G81" s="600"/>
      <c r="H81" s="600"/>
      <c r="I81" s="601"/>
      <c r="J81" s="575"/>
    </row>
    <row r="82" spans="1:10" ht="19.5" customHeight="1">
      <c r="A82" s="499" t="s">
        <v>402</v>
      </c>
      <c r="B82" s="500"/>
      <c r="C82" s="501"/>
      <c r="D82" s="559" t="s">
        <v>13</v>
      </c>
      <c r="E82" s="500"/>
      <c r="F82" s="501"/>
      <c r="G82" s="560" t="str">
        <f>"Balance Readings ("&amp;IF(BalUnit="","",BalUnit)&amp;")"</f>
        <v>Balance Readings ()</v>
      </c>
      <c r="H82" s="561"/>
      <c r="I82" s="574"/>
      <c r="J82" s="575"/>
    </row>
    <row r="83" spans="1:10" ht="19.5" customHeight="1">
      <c r="A83" s="502">
        <v>1</v>
      </c>
      <c r="B83" s="503"/>
      <c r="C83" s="504"/>
      <c r="D83" s="560" t="s">
        <v>24</v>
      </c>
      <c r="E83" s="561"/>
      <c r="F83" s="562"/>
      <c r="G83" s="516"/>
      <c r="H83" s="517"/>
      <c r="I83" s="518"/>
      <c r="J83" s="497">
        <f>IF(Obs2_4="","",IF(AND(BalUnit="lb",ABS((Obs2_2-Obs2_1)-(Obs2_3-Obs2_4))*453.59237&lt;2*sp),"GO",IF(AND(BalUnit="g",ABS((Obs2_2-Obs2_1)-(Obs2_3-Obs2_4))&lt;2*sp),"GO","REPEAT")))</f>
      </c>
    </row>
    <row r="84" spans="1:10" ht="19.5" customHeight="1">
      <c r="A84" s="502">
        <v>2</v>
      </c>
      <c r="B84" s="503"/>
      <c r="C84" s="504"/>
      <c r="D84" s="560" t="s">
        <v>25</v>
      </c>
      <c r="E84" s="561"/>
      <c r="F84" s="562"/>
      <c r="G84" s="516"/>
      <c r="H84" s="517"/>
      <c r="I84" s="518"/>
      <c r="J84" s="497"/>
    </row>
    <row r="85" spans="1:10" ht="19.5" customHeight="1">
      <c r="A85" s="502">
        <v>3</v>
      </c>
      <c r="B85" s="503"/>
      <c r="C85" s="504"/>
      <c r="D85" s="560" t="s">
        <v>404</v>
      </c>
      <c r="E85" s="561"/>
      <c r="F85" s="562"/>
      <c r="G85" s="516"/>
      <c r="H85" s="517"/>
      <c r="I85" s="518"/>
      <c r="J85" s="497"/>
    </row>
    <row r="86" spans="1:10" ht="19.5" customHeight="1">
      <c r="A86" s="502" t="s">
        <v>391</v>
      </c>
      <c r="B86" s="503"/>
      <c r="C86" s="504"/>
      <c r="D86" s="560" t="s">
        <v>405</v>
      </c>
      <c r="E86" s="561"/>
      <c r="F86" s="562"/>
      <c r="G86" s="516"/>
      <c r="H86" s="517"/>
      <c r="I86" s="518"/>
      <c r="J86" s="497"/>
    </row>
    <row r="87" spans="1:10" ht="19.5" customHeight="1">
      <c r="A87" s="599" t="s">
        <v>400</v>
      </c>
      <c r="B87" s="600"/>
      <c r="C87" s="600"/>
      <c r="D87" s="600"/>
      <c r="E87" s="600"/>
      <c r="F87" s="600"/>
      <c r="G87" s="600"/>
      <c r="H87" s="600"/>
      <c r="I87" s="601"/>
      <c r="J87" s="575"/>
    </row>
    <row r="88" spans="1:10" ht="19.5" customHeight="1">
      <c r="A88" s="499" t="s">
        <v>403</v>
      </c>
      <c r="B88" s="500"/>
      <c r="C88" s="501"/>
      <c r="D88" s="559" t="s">
        <v>13</v>
      </c>
      <c r="E88" s="500"/>
      <c r="F88" s="501"/>
      <c r="G88" s="560" t="str">
        <f>"Balance Readings ("&amp;IF(BalUnit="","",BalUnit)&amp;")"</f>
        <v>Balance Readings ()</v>
      </c>
      <c r="H88" s="561"/>
      <c r="I88" s="574"/>
      <c r="J88" s="575"/>
    </row>
    <row r="89" spans="1:10" ht="19.5" customHeight="1">
      <c r="A89" s="502">
        <v>1</v>
      </c>
      <c r="B89" s="503"/>
      <c r="C89" s="504"/>
      <c r="D89" s="560" t="s">
        <v>24</v>
      </c>
      <c r="E89" s="561"/>
      <c r="F89" s="562"/>
      <c r="G89" s="516"/>
      <c r="H89" s="517"/>
      <c r="I89" s="518"/>
      <c r="J89" s="497">
        <f>IF(Obs3_4="","",IF(AND(BalUnit="lb",ABS((Obs3_2-Obs3_1)-(Obs3_3-Obs3_4))*453.59237&lt;2*sp),"GO",IF(AND(BalUnit="g",ABS((Obs3_2-Obs3_1)-(Obs3_3-Obs3_4))&lt;2*sp),"GO","REPEAT")))</f>
      </c>
    </row>
    <row r="90" spans="1:10" ht="19.5" customHeight="1">
      <c r="A90" s="502">
        <v>2</v>
      </c>
      <c r="B90" s="503"/>
      <c r="C90" s="504"/>
      <c r="D90" s="560" t="s">
        <v>25</v>
      </c>
      <c r="E90" s="561"/>
      <c r="F90" s="562"/>
      <c r="G90" s="516"/>
      <c r="H90" s="517"/>
      <c r="I90" s="518"/>
      <c r="J90" s="497"/>
    </row>
    <row r="91" spans="1:10" ht="19.5" customHeight="1">
      <c r="A91" s="502">
        <v>3</v>
      </c>
      <c r="B91" s="503"/>
      <c r="C91" s="504"/>
      <c r="D91" s="560" t="s">
        <v>404</v>
      </c>
      <c r="E91" s="561"/>
      <c r="F91" s="562"/>
      <c r="G91" s="516"/>
      <c r="H91" s="517"/>
      <c r="I91" s="518"/>
      <c r="J91" s="497"/>
    </row>
    <row r="92" spans="1:10" ht="19.5" customHeight="1">
      <c r="A92" s="502" t="s">
        <v>391</v>
      </c>
      <c r="B92" s="503"/>
      <c r="C92" s="504"/>
      <c r="D92" s="560" t="s">
        <v>405</v>
      </c>
      <c r="E92" s="561"/>
      <c r="F92" s="562"/>
      <c r="G92" s="516"/>
      <c r="H92" s="517"/>
      <c r="I92" s="518"/>
      <c r="J92" s="497"/>
    </row>
    <row r="93" spans="1:10" ht="19.5" customHeight="1">
      <c r="A93" s="597" t="s">
        <v>610</v>
      </c>
      <c r="B93" s="598"/>
      <c r="C93" s="307"/>
      <c r="D93" s="308" t="s">
        <v>32</v>
      </c>
      <c r="E93" s="309"/>
      <c r="F93" s="308" t="s">
        <v>31</v>
      </c>
      <c r="G93" s="309"/>
      <c r="H93" s="308" t="s">
        <v>26</v>
      </c>
      <c r="I93" s="310"/>
      <c r="J93" s="287"/>
    </row>
    <row r="94" spans="1:10" ht="15.75">
      <c r="A94" s="632"/>
      <c r="B94" s="633"/>
      <c r="C94" s="633"/>
      <c r="D94" s="633"/>
      <c r="E94" s="633"/>
      <c r="F94" s="633"/>
      <c r="G94" s="633"/>
      <c r="H94" s="633"/>
      <c r="I94" s="633"/>
      <c r="J94" s="634"/>
    </row>
    <row r="95" spans="1:10" ht="19.5" customHeight="1">
      <c r="A95" s="494" t="s">
        <v>693</v>
      </c>
      <c r="B95" s="495"/>
      <c r="C95" s="495"/>
      <c r="D95" s="495"/>
      <c r="E95" s="495"/>
      <c r="F95" s="495"/>
      <c r="G95" s="495"/>
      <c r="H95" s="495"/>
      <c r="I95" s="495"/>
      <c r="J95" s="496"/>
    </row>
    <row r="96" spans="1:10" ht="16.5" thickBot="1">
      <c r="A96" s="304"/>
      <c r="B96" s="305"/>
      <c r="C96" s="305"/>
      <c r="D96" s="305"/>
      <c r="E96" s="305"/>
      <c r="F96" s="305"/>
      <c r="G96" s="305"/>
      <c r="H96" s="305"/>
      <c r="I96" s="305"/>
      <c r="J96" s="306"/>
    </row>
    <row r="97" spans="1:10" ht="19.5" customHeight="1" thickBot="1">
      <c r="A97" s="19" t="s">
        <v>37</v>
      </c>
      <c r="B97" s="21"/>
      <c r="C97" s="21"/>
      <c r="D97" s="21"/>
      <c r="E97" s="21"/>
      <c r="F97" s="21"/>
      <c r="G97" s="21"/>
      <c r="H97" s="21"/>
      <c r="I97" s="21"/>
      <c r="J97" s="282"/>
    </row>
    <row r="98" spans="1:10" ht="19.5" customHeight="1">
      <c r="A98" s="563" t="s">
        <v>50</v>
      </c>
      <c r="B98" s="564"/>
      <c r="C98" s="283"/>
      <c r="D98" s="284" t="s">
        <v>32</v>
      </c>
      <c r="E98" s="285"/>
      <c r="F98" s="284" t="s">
        <v>31</v>
      </c>
      <c r="G98" s="285"/>
      <c r="H98" s="284" t="s">
        <v>26</v>
      </c>
      <c r="I98" s="286"/>
      <c r="J98" s="570" t="s">
        <v>445</v>
      </c>
    </row>
    <row r="99" spans="1:10" ht="19.5" customHeight="1">
      <c r="A99" s="499" t="s">
        <v>401</v>
      </c>
      <c r="B99" s="500"/>
      <c r="C99" s="501"/>
      <c r="D99" s="559" t="s">
        <v>13</v>
      </c>
      <c r="E99" s="500"/>
      <c r="F99" s="501"/>
      <c r="G99" s="560" t="str">
        <f>"Balance Readings ("&amp;IF(BalUnit="","",BalUnit)&amp;")"</f>
        <v>Balance Readings ()</v>
      </c>
      <c r="H99" s="561"/>
      <c r="I99" s="574"/>
      <c r="J99" s="637"/>
    </row>
    <row r="100" spans="1:10" ht="19.5" customHeight="1">
      <c r="A100" s="502">
        <v>1</v>
      </c>
      <c r="B100" s="503"/>
      <c r="C100" s="504"/>
      <c r="D100" s="560" t="s">
        <v>24</v>
      </c>
      <c r="E100" s="561"/>
      <c r="F100" s="562"/>
      <c r="G100" s="516"/>
      <c r="H100" s="517"/>
      <c r="I100" s="518"/>
      <c r="J100" s="497">
        <f>IF(Obs4_4="","",IF(AND(BalUnit="lb",ABS((Obs4_2-Obs4_1)-(Obs4_3-Obs4_4))*453.59237&lt;2*sp),"GO",IF(AND(BalUnit="g",ABS((Obs4_2-Obs4_1)-(Obs4_3-Obs4_4))&lt;2*sp),"GO","REPEAT")))</f>
      </c>
    </row>
    <row r="101" spans="1:10" ht="19.5" customHeight="1">
      <c r="A101" s="502">
        <v>2</v>
      </c>
      <c r="B101" s="503"/>
      <c r="C101" s="504"/>
      <c r="D101" s="560" t="s">
        <v>25</v>
      </c>
      <c r="E101" s="561"/>
      <c r="F101" s="562"/>
      <c r="G101" s="516"/>
      <c r="H101" s="517"/>
      <c r="I101" s="518"/>
      <c r="J101" s="497"/>
    </row>
    <row r="102" spans="1:10" ht="19.5" customHeight="1">
      <c r="A102" s="502">
        <v>3</v>
      </c>
      <c r="B102" s="503"/>
      <c r="C102" s="504"/>
      <c r="D102" s="560" t="s">
        <v>404</v>
      </c>
      <c r="E102" s="561"/>
      <c r="F102" s="562"/>
      <c r="G102" s="516"/>
      <c r="H102" s="517"/>
      <c r="I102" s="518"/>
      <c r="J102" s="497"/>
    </row>
    <row r="103" spans="1:10" ht="19.5" customHeight="1">
      <c r="A103" s="502" t="s">
        <v>391</v>
      </c>
      <c r="B103" s="503"/>
      <c r="C103" s="504"/>
      <c r="D103" s="560" t="s">
        <v>405</v>
      </c>
      <c r="E103" s="561"/>
      <c r="F103" s="562"/>
      <c r="G103" s="516"/>
      <c r="H103" s="517"/>
      <c r="I103" s="518"/>
      <c r="J103" s="497"/>
    </row>
    <row r="104" spans="1:10" ht="19.5" customHeight="1">
      <c r="A104" s="599" t="s">
        <v>400</v>
      </c>
      <c r="B104" s="600"/>
      <c r="C104" s="600"/>
      <c r="D104" s="600"/>
      <c r="E104" s="600"/>
      <c r="F104" s="600"/>
      <c r="G104" s="600"/>
      <c r="H104" s="600"/>
      <c r="I104" s="601"/>
      <c r="J104" s="575"/>
    </row>
    <row r="105" spans="1:10" ht="19.5" customHeight="1">
      <c r="A105" s="499" t="s">
        <v>402</v>
      </c>
      <c r="B105" s="500"/>
      <c r="C105" s="501"/>
      <c r="D105" s="559" t="s">
        <v>13</v>
      </c>
      <c r="E105" s="500"/>
      <c r="F105" s="501"/>
      <c r="G105" s="560" t="str">
        <f>"Balance Readings ("&amp;IF(BalUnit="","",BalUnit)&amp;")"</f>
        <v>Balance Readings ()</v>
      </c>
      <c r="H105" s="561"/>
      <c r="I105" s="574"/>
      <c r="J105" s="575"/>
    </row>
    <row r="106" spans="1:10" ht="19.5" customHeight="1">
      <c r="A106" s="502" t="s">
        <v>392</v>
      </c>
      <c r="B106" s="503"/>
      <c r="C106" s="504"/>
      <c r="D106" s="560" t="s">
        <v>24</v>
      </c>
      <c r="E106" s="561"/>
      <c r="F106" s="562"/>
      <c r="G106" s="516"/>
      <c r="H106" s="517"/>
      <c r="I106" s="518"/>
      <c r="J106" s="497">
        <f>IF(Obs5_4="","",IF(AND(BalUnit="lb",ABS((Obs5_2-Obs5_1)-(Obs5_3-Obs5_4))*453.59237&lt;2*sp),"GO",IF(AND(BalUnit="g",ABS((Obs5_2-Obs5_1)-(Obs5_3-Obs5_4))&lt;2*sp),"GO","REPEAT")))</f>
      </c>
    </row>
    <row r="107" spans="1:10" ht="19.5" customHeight="1">
      <c r="A107" s="502" t="s">
        <v>393</v>
      </c>
      <c r="B107" s="503"/>
      <c r="C107" s="504"/>
      <c r="D107" s="560" t="s">
        <v>25</v>
      </c>
      <c r="E107" s="561"/>
      <c r="F107" s="562"/>
      <c r="G107" s="516"/>
      <c r="H107" s="517"/>
      <c r="I107" s="518"/>
      <c r="J107" s="497"/>
    </row>
    <row r="108" spans="1:10" ht="19.5" customHeight="1">
      <c r="A108" s="502" t="s">
        <v>394</v>
      </c>
      <c r="B108" s="503"/>
      <c r="C108" s="504"/>
      <c r="D108" s="560" t="s">
        <v>404</v>
      </c>
      <c r="E108" s="561"/>
      <c r="F108" s="562"/>
      <c r="G108" s="516"/>
      <c r="H108" s="517"/>
      <c r="I108" s="518"/>
      <c r="J108" s="497"/>
    </row>
    <row r="109" spans="1:10" ht="19.5" customHeight="1">
      <c r="A109" s="502" t="s">
        <v>391</v>
      </c>
      <c r="B109" s="503"/>
      <c r="C109" s="504"/>
      <c r="D109" s="560" t="s">
        <v>405</v>
      </c>
      <c r="E109" s="561"/>
      <c r="F109" s="562"/>
      <c r="G109" s="516"/>
      <c r="H109" s="517"/>
      <c r="I109" s="518"/>
      <c r="J109" s="497"/>
    </row>
    <row r="110" spans="1:10" ht="19.5" customHeight="1">
      <c r="A110" s="599" t="s">
        <v>400</v>
      </c>
      <c r="B110" s="600"/>
      <c r="C110" s="600"/>
      <c r="D110" s="600"/>
      <c r="E110" s="600"/>
      <c r="F110" s="600"/>
      <c r="G110" s="600"/>
      <c r="H110" s="600"/>
      <c r="I110" s="601"/>
      <c r="J110" s="575"/>
    </row>
    <row r="111" spans="1:10" ht="19.5" customHeight="1">
      <c r="A111" s="499" t="s">
        <v>403</v>
      </c>
      <c r="B111" s="500"/>
      <c r="C111" s="501"/>
      <c r="D111" s="559" t="s">
        <v>13</v>
      </c>
      <c r="E111" s="500"/>
      <c r="F111" s="501"/>
      <c r="G111" s="560" t="str">
        <f>"Balance Readings ("&amp;IF(BalUnit="","",BalUnit)&amp;")"</f>
        <v>Balance Readings ()</v>
      </c>
      <c r="H111" s="561"/>
      <c r="I111" s="574"/>
      <c r="J111" s="575"/>
    </row>
    <row r="112" spans="1:10" ht="19.5" customHeight="1">
      <c r="A112" s="502" t="s">
        <v>392</v>
      </c>
      <c r="B112" s="503"/>
      <c r="C112" s="504"/>
      <c r="D112" s="560" t="s">
        <v>24</v>
      </c>
      <c r="E112" s="561"/>
      <c r="F112" s="562"/>
      <c r="G112" s="516"/>
      <c r="H112" s="517"/>
      <c r="I112" s="518"/>
      <c r="J112" s="497">
        <f>IF(Obs6_4="","",IF(AND(BalUnit="lb",ABS((Obs6_2-Obs6_1)-(Obs6_3-Obs6_4))*453.59237&lt;2*sp),"GO",IF(AND(BalUnit="g",ABS((Obs6_2-Obs6_1)-(Obs6_3-Obs6_4))&lt;2*sp),"GO","REPEAT")))</f>
      </c>
    </row>
    <row r="113" spans="1:10" ht="19.5" customHeight="1">
      <c r="A113" s="502" t="s">
        <v>393</v>
      </c>
      <c r="B113" s="503"/>
      <c r="C113" s="504"/>
      <c r="D113" s="560" t="s">
        <v>25</v>
      </c>
      <c r="E113" s="561"/>
      <c r="F113" s="562"/>
      <c r="G113" s="516"/>
      <c r="H113" s="517"/>
      <c r="I113" s="518"/>
      <c r="J113" s="497"/>
    </row>
    <row r="114" spans="1:10" ht="19.5" customHeight="1">
      <c r="A114" s="502" t="s">
        <v>394</v>
      </c>
      <c r="B114" s="503"/>
      <c r="C114" s="504"/>
      <c r="D114" s="560" t="s">
        <v>404</v>
      </c>
      <c r="E114" s="561"/>
      <c r="F114" s="562"/>
      <c r="G114" s="516"/>
      <c r="H114" s="517"/>
      <c r="I114" s="518"/>
      <c r="J114" s="497"/>
    </row>
    <row r="115" spans="1:10" ht="19.5" customHeight="1">
      <c r="A115" s="502" t="s">
        <v>391</v>
      </c>
      <c r="B115" s="503"/>
      <c r="C115" s="504"/>
      <c r="D115" s="560" t="s">
        <v>405</v>
      </c>
      <c r="E115" s="561"/>
      <c r="F115" s="562"/>
      <c r="G115" s="516"/>
      <c r="H115" s="517"/>
      <c r="I115" s="518"/>
      <c r="J115" s="497"/>
    </row>
    <row r="116" spans="1:10" ht="19.5" customHeight="1">
      <c r="A116" s="597" t="s">
        <v>610</v>
      </c>
      <c r="B116" s="598"/>
      <c r="C116" s="307"/>
      <c r="D116" s="313" t="s">
        <v>32</v>
      </c>
      <c r="E116" s="155"/>
      <c r="F116" s="308" t="s">
        <v>31</v>
      </c>
      <c r="G116" s="155"/>
      <c r="H116" s="308" t="s">
        <v>26</v>
      </c>
      <c r="I116" s="155"/>
      <c r="J116" s="287"/>
    </row>
    <row r="117" spans="1:10" ht="15.75">
      <c r="A117" s="632"/>
      <c r="B117" s="633"/>
      <c r="C117" s="633"/>
      <c r="D117" s="633"/>
      <c r="E117" s="633"/>
      <c r="F117" s="633"/>
      <c r="G117" s="633"/>
      <c r="H117" s="633"/>
      <c r="I117" s="633"/>
      <c r="J117" s="634"/>
    </row>
    <row r="118" spans="1:10" ht="15.75">
      <c r="A118" s="510" t="s">
        <v>547</v>
      </c>
      <c r="B118" s="511"/>
      <c r="C118" s="511"/>
      <c r="D118" s="511"/>
      <c r="E118" s="511"/>
      <c r="F118" s="511"/>
      <c r="G118" s="511"/>
      <c r="H118" s="511"/>
      <c r="I118" s="635"/>
      <c r="J118" s="636"/>
    </row>
    <row r="119" spans="1:10" ht="16.5" thickBot="1">
      <c r="A119" s="314"/>
      <c r="B119" s="315"/>
      <c r="C119" s="315"/>
      <c r="D119" s="315"/>
      <c r="E119" s="315"/>
      <c r="F119" s="315"/>
      <c r="G119" s="315"/>
      <c r="H119" s="315"/>
      <c r="I119" s="315"/>
      <c r="J119" s="316"/>
    </row>
    <row r="120" ht="15.75">
      <c r="J120" s="44"/>
    </row>
    <row r="121" ht="15.75" hidden="1"/>
    <row r="122" ht="15.75" hidden="1"/>
  </sheetData>
  <sheetProtection password="83AF" sheet="1" objects="1" scenarios="1" selectLockedCells="1"/>
  <mergeCells count="260">
    <mergeCell ref="A68:J68"/>
    <mergeCell ref="A69:J69"/>
    <mergeCell ref="D70:E70"/>
    <mergeCell ref="G70:J71"/>
    <mergeCell ref="D71:E71"/>
    <mergeCell ref="A72:C72"/>
    <mergeCell ref="D72:E72"/>
    <mergeCell ref="G72:J72"/>
    <mergeCell ref="G4:I4"/>
    <mergeCell ref="A11:B11"/>
    <mergeCell ref="C13:E13"/>
    <mergeCell ref="C10:E10"/>
    <mergeCell ref="F10:H10"/>
    <mergeCell ref="D88:F88"/>
    <mergeCell ref="A7:F7"/>
    <mergeCell ref="A13:B13"/>
    <mergeCell ref="H6:J6"/>
    <mergeCell ref="H7:J7"/>
    <mergeCell ref="H5:J5"/>
    <mergeCell ref="J83:J86"/>
    <mergeCell ref="G77:I77"/>
    <mergeCell ref="G76:I76"/>
    <mergeCell ref="A29:H29"/>
    <mergeCell ref="G33:I33"/>
    <mergeCell ref="D53:E53"/>
    <mergeCell ref="A64:B64"/>
    <mergeCell ref="F53:G53"/>
    <mergeCell ref="C12:E12"/>
    <mergeCell ref="A115:C115"/>
    <mergeCell ref="A117:J117"/>
    <mergeCell ref="A112:C112"/>
    <mergeCell ref="G89:I89"/>
    <mergeCell ref="G112:I112"/>
    <mergeCell ref="D113:F113"/>
    <mergeCell ref="J98:J99"/>
    <mergeCell ref="D111:F111"/>
    <mergeCell ref="G115:I115"/>
    <mergeCell ref="D112:F112"/>
    <mergeCell ref="I118:J118"/>
    <mergeCell ref="J104:J105"/>
    <mergeCell ref="D115:F115"/>
    <mergeCell ref="J110:J111"/>
    <mergeCell ref="A114:C114"/>
    <mergeCell ref="D114:F114"/>
    <mergeCell ref="A113:C113"/>
    <mergeCell ref="G113:I113"/>
    <mergeCell ref="A111:C111"/>
    <mergeCell ref="G114:I114"/>
    <mergeCell ref="A110:I110"/>
    <mergeCell ref="G111:I111"/>
    <mergeCell ref="G105:I105"/>
    <mergeCell ref="G106:I106"/>
    <mergeCell ref="D109:F109"/>
    <mergeCell ref="G109:I109"/>
    <mergeCell ref="A105:C105"/>
    <mergeCell ref="D108:F108"/>
    <mergeCell ref="G108:I108"/>
    <mergeCell ref="A108:C108"/>
    <mergeCell ref="D107:F107"/>
    <mergeCell ref="G107:I107"/>
    <mergeCell ref="A102:C102"/>
    <mergeCell ref="G100:I100"/>
    <mergeCell ref="A93:B93"/>
    <mergeCell ref="D100:F100"/>
    <mergeCell ref="D101:F101"/>
    <mergeCell ref="G102:I102"/>
    <mergeCell ref="G101:I101"/>
    <mergeCell ref="A94:J94"/>
    <mergeCell ref="G99:I99"/>
    <mergeCell ref="A38:J38"/>
    <mergeCell ref="A39:J39"/>
    <mergeCell ref="A20:E20"/>
    <mergeCell ref="B51:C51"/>
    <mergeCell ref="D52:E52"/>
    <mergeCell ref="F50:G50"/>
    <mergeCell ref="A44:C44"/>
    <mergeCell ref="A45:C45"/>
    <mergeCell ref="A75:B75"/>
    <mergeCell ref="I10:J10"/>
    <mergeCell ref="F13:H13"/>
    <mergeCell ref="C11:E11"/>
    <mergeCell ref="F11:H11"/>
    <mergeCell ref="A10:B10"/>
    <mergeCell ref="A12:B12"/>
    <mergeCell ref="I11:J11"/>
    <mergeCell ref="F12:H12"/>
    <mergeCell ref="I12:J12"/>
    <mergeCell ref="I13:J13"/>
    <mergeCell ref="D66:E66"/>
    <mergeCell ref="A66:B66"/>
    <mergeCell ref="D83:F83"/>
    <mergeCell ref="D85:F85"/>
    <mergeCell ref="G79:I79"/>
    <mergeCell ref="A83:C83"/>
    <mergeCell ref="A77:C77"/>
    <mergeCell ref="F66:G66"/>
    <mergeCell ref="D78:F78"/>
    <mergeCell ref="D76:F76"/>
    <mergeCell ref="D54:E54"/>
    <mergeCell ref="D55:E55"/>
    <mergeCell ref="B55:C55"/>
    <mergeCell ref="D56:E56"/>
    <mergeCell ref="F59:G59"/>
    <mergeCell ref="D59:E59"/>
    <mergeCell ref="A116:B116"/>
    <mergeCell ref="A82:C82"/>
    <mergeCell ref="A106:C106"/>
    <mergeCell ref="A104:I104"/>
    <mergeCell ref="A87:I87"/>
    <mergeCell ref="D79:F79"/>
    <mergeCell ref="G82:I82"/>
    <mergeCell ref="A81:I81"/>
    <mergeCell ref="A84:C84"/>
    <mergeCell ref="G91:I91"/>
    <mergeCell ref="A65:B65"/>
    <mergeCell ref="F65:G65"/>
    <mergeCell ref="D65:E65"/>
    <mergeCell ref="F64:G64"/>
    <mergeCell ref="F54:G54"/>
    <mergeCell ref="B59:C59"/>
    <mergeCell ref="B58:C58"/>
    <mergeCell ref="B60:C60"/>
    <mergeCell ref="F60:G60"/>
    <mergeCell ref="B54:C54"/>
    <mergeCell ref="A46:C46"/>
    <mergeCell ref="A35:H35"/>
    <mergeCell ref="B53:C53"/>
    <mergeCell ref="F51:G51"/>
    <mergeCell ref="D50:E50"/>
    <mergeCell ref="D51:E51"/>
    <mergeCell ref="B50:C50"/>
    <mergeCell ref="A36:H36"/>
    <mergeCell ref="B52:C52"/>
    <mergeCell ref="A37:J37"/>
    <mergeCell ref="A17:E17"/>
    <mergeCell ref="H17:I17"/>
    <mergeCell ref="I31:J31"/>
    <mergeCell ref="A32:H32"/>
    <mergeCell ref="E19:F19"/>
    <mergeCell ref="A19:D19"/>
    <mergeCell ref="D27:E27"/>
    <mergeCell ref="E24:G24"/>
    <mergeCell ref="H26:J26"/>
    <mergeCell ref="I29:J29"/>
    <mergeCell ref="F17:G17"/>
    <mergeCell ref="G20:I20"/>
    <mergeCell ref="F46:G46"/>
    <mergeCell ref="F55:G55"/>
    <mergeCell ref="F56:G56"/>
    <mergeCell ref="I32:J32"/>
    <mergeCell ref="A18:H18"/>
    <mergeCell ref="A30:H30"/>
    <mergeCell ref="C24:D24"/>
    <mergeCell ref="F21:H21"/>
    <mergeCell ref="D63:E63"/>
    <mergeCell ref="D64:E64"/>
    <mergeCell ref="J75:J76"/>
    <mergeCell ref="D92:F92"/>
    <mergeCell ref="J77:J80"/>
    <mergeCell ref="F63:G63"/>
    <mergeCell ref="G88:I88"/>
    <mergeCell ref="J81:J82"/>
    <mergeCell ref="J87:J88"/>
    <mergeCell ref="J89:J92"/>
    <mergeCell ref="G86:I86"/>
    <mergeCell ref="D90:F90"/>
    <mergeCell ref="G90:I90"/>
    <mergeCell ref="G83:I83"/>
    <mergeCell ref="G92:I92"/>
    <mergeCell ref="D89:F89"/>
    <mergeCell ref="D99:F99"/>
    <mergeCell ref="J100:J103"/>
    <mergeCell ref="F45:G45"/>
    <mergeCell ref="D46:E46"/>
    <mergeCell ref="G84:I84"/>
    <mergeCell ref="G85:I85"/>
    <mergeCell ref="G78:I78"/>
    <mergeCell ref="D80:F80"/>
    <mergeCell ref="D77:F77"/>
    <mergeCell ref="D86:F86"/>
    <mergeCell ref="D103:F103"/>
    <mergeCell ref="G103:I103"/>
    <mergeCell ref="D84:F84"/>
    <mergeCell ref="D91:F91"/>
    <mergeCell ref="A100:C100"/>
    <mergeCell ref="D102:F102"/>
    <mergeCell ref="A86:C86"/>
    <mergeCell ref="A85:C85"/>
    <mergeCell ref="A89:C89"/>
    <mergeCell ref="A98:B98"/>
    <mergeCell ref="A109:C109"/>
    <mergeCell ref="A78:C78"/>
    <mergeCell ref="A80:C80"/>
    <mergeCell ref="A90:C90"/>
    <mergeCell ref="A101:C101"/>
    <mergeCell ref="D105:F105"/>
    <mergeCell ref="A107:C107"/>
    <mergeCell ref="D106:F106"/>
    <mergeCell ref="D82:F82"/>
    <mergeCell ref="A91:C91"/>
    <mergeCell ref="C26:D26"/>
    <mergeCell ref="A21:B21"/>
    <mergeCell ref="I30:J30"/>
    <mergeCell ref="A40:J40"/>
    <mergeCell ref="I35:J35"/>
    <mergeCell ref="A27:B27"/>
    <mergeCell ref="A34:H34"/>
    <mergeCell ref="G27:I27"/>
    <mergeCell ref="C21:D21"/>
    <mergeCell ref="A33:B33"/>
    <mergeCell ref="A31:H31"/>
    <mergeCell ref="I28:J28"/>
    <mergeCell ref="H24:J24"/>
    <mergeCell ref="C25:D25"/>
    <mergeCell ref="A26:B26"/>
    <mergeCell ref="I34:J34"/>
    <mergeCell ref="A25:B25"/>
    <mergeCell ref="E26:G26"/>
    <mergeCell ref="H25:J25"/>
    <mergeCell ref="A24:B24"/>
    <mergeCell ref="A4:F4"/>
    <mergeCell ref="A5:F5"/>
    <mergeCell ref="A6:F6"/>
    <mergeCell ref="E25:G25"/>
    <mergeCell ref="B56:C56"/>
    <mergeCell ref="F52:G52"/>
    <mergeCell ref="D44:E44"/>
    <mergeCell ref="A43:I43"/>
    <mergeCell ref="D45:E45"/>
    <mergeCell ref="I36:J36"/>
    <mergeCell ref="G80:I80"/>
    <mergeCell ref="C28:D28"/>
    <mergeCell ref="F28:G28"/>
    <mergeCell ref="D58:E58"/>
    <mergeCell ref="H1:J1"/>
    <mergeCell ref="F14:H14"/>
    <mergeCell ref="I14:J14"/>
    <mergeCell ref="C14:E14"/>
    <mergeCell ref="F15:H15"/>
    <mergeCell ref="C15:E15"/>
    <mergeCell ref="J112:J115"/>
    <mergeCell ref="I18:J18"/>
    <mergeCell ref="F58:G58"/>
    <mergeCell ref="A99:C99"/>
    <mergeCell ref="A15:B15"/>
    <mergeCell ref="A118:H118"/>
    <mergeCell ref="D60:E60"/>
    <mergeCell ref="A63:B63"/>
    <mergeCell ref="A92:C92"/>
    <mergeCell ref="A76:C76"/>
    <mergeCell ref="A16:B16"/>
    <mergeCell ref="E16:F16"/>
    <mergeCell ref="I15:J15"/>
    <mergeCell ref="A95:J95"/>
    <mergeCell ref="A14:B14"/>
    <mergeCell ref="J106:J109"/>
    <mergeCell ref="F44:G44"/>
    <mergeCell ref="A88:C88"/>
    <mergeCell ref="A79:C79"/>
    <mergeCell ref="A103:C103"/>
  </mergeCells>
  <conditionalFormatting sqref="E116 E98 E93 E75">
    <cfRule type="containsBlanks" priority="181" dxfId="12" stopIfTrue="1">
      <formula>LEN(TRIM(E75))=0</formula>
    </cfRule>
    <cfRule type="cellIs" priority="182" dxfId="34" operator="notBetween" stopIfTrue="1">
      <formula>18</formula>
      <formula>27</formula>
    </cfRule>
    <cfRule type="notContainsBlanks" priority="183" dxfId="19" stopIfTrue="1">
      <formula>LEN(TRIM(E75))&gt;0</formula>
    </cfRule>
  </conditionalFormatting>
  <conditionalFormatting sqref="I116 I98 I93 I75">
    <cfRule type="containsBlanks" priority="178" dxfId="12" stopIfTrue="1">
      <formula>LEN(TRIM(I75))=0</formula>
    </cfRule>
    <cfRule type="cellIs" priority="179" dxfId="34" operator="notBetween" stopIfTrue="1">
      <formula>40</formula>
      <formula>60</formula>
    </cfRule>
    <cfRule type="notContainsBlanks" priority="180" dxfId="19" stopIfTrue="1">
      <formula>LEN(TRIM(I75))&gt;0</formula>
    </cfRule>
  </conditionalFormatting>
  <conditionalFormatting sqref="E16 I118:J118 H19 G116 C98 G98 G100:I103 G89:I92 C75 G75 C93 G93 G83:I86 G106:I109 G112:I115 G77:G80 C116 I18:J18 A40 C11:E13 C10 I10:J14 D25:D26 H24 J25:J27 H25:I26 C24:C28 F27:F28 I29:J32 F33 D33 I28:I32 J33 I34:J36 A38 I39:J40 E19 J19:J21 F21:H21 F20 J4 C21 H5:J7 H1:J1 F17:G17 J16:J17">
    <cfRule type="notContainsBlanks" priority="177" dxfId="19" stopIfTrue="1">
      <formula>LEN(TRIM(A1))&gt;0</formula>
    </cfRule>
  </conditionalFormatting>
  <conditionalFormatting sqref="J77:J80 J83:J86 J89:J92 J100:J103 J106:J109 J112:J115">
    <cfRule type="containsText" priority="72" dxfId="13" operator="containsText" stopIfTrue="1" text="repeat">
      <formula>NOT(ISERROR(SEARCH("repeat",J77)))</formula>
    </cfRule>
    <cfRule type="containsText" priority="73" dxfId="30" operator="containsText" stopIfTrue="1" text="go">
      <formula>NOT(ISERROR(SEARCH("go",J77)))</formula>
    </cfRule>
  </conditionalFormatting>
  <conditionalFormatting sqref="E16 I118:J118 H19 A40:J40 C116 G116 C75 G75 G77:I80 G83:I86 G89:I92 C93 G93 C98 G98 G100:I103 G106:I109 G112:I115 H1:J1 J4 H5:J7 C10:E13 I10:J14 C21 F17:G17 J16:J17 I18:J18 E19 F20 F21:H21 J19:J21 C24:D26 H24:J26 C27 F27 J27 F28:G28 C28:D28 I28:J32 D33 F33 J33 I34:J36 A38:J38">
    <cfRule type="containsBlanks" priority="59" dxfId="12" stopIfTrue="1">
      <formula>LEN(TRIM(A1))=0</formula>
    </cfRule>
  </conditionalFormatting>
  <conditionalFormatting sqref="A4:F7 I58:I59 B51:J55 A45:A46 D45:H46">
    <cfRule type="containsBlanks" priority="53" dxfId="12" stopIfTrue="1">
      <formula>LEN(TRIM(A4))=0</formula>
    </cfRule>
    <cfRule type="notContainsBlanks" priority="213" dxfId="19" stopIfTrue="1">
      <formula>LEN(TRIM(A4))&gt;0</formula>
    </cfRule>
  </conditionalFormatting>
  <conditionalFormatting sqref="D64:H66 B58:H59 J58:J59">
    <cfRule type="notContainsBlanks" priority="24" dxfId="19" stopIfTrue="1">
      <formula>LEN(TRIM(B58))&gt;0</formula>
    </cfRule>
    <cfRule type="containsBlanks" priority="25" dxfId="12" stopIfTrue="1">
      <formula>LEN(TRIM(B58))=0</formula>
    </cfRule>
  </conditionalFormatting>
  <conditionalFormatting sqref="I45:I46">
    <cfRule type="containsBlanks" priority="17" dxfId="12" stopIfTrue="1">
      <formula>LEN(TRIM(I45))=0</formula>
    </cfRule>
    <cfRule type="cellIs" priority="19" dxfId="23" operator="lessThanOrEqual" stopIfTrue="1">
      <formula>$I$10</formula>
    </cfRule>
    <cfRule type="notContainsBlanks" priority="20" dxfId="19" stopIfTrue="1">
      <formula>LEN(TRIM(I45))&gt;0</formula>
    </cfRule>
  </conditionalFormatting>
  <conditionalFormatting sqref="C16">
    <cfRule type="notContainsBlanks" priority="11" dxfId="19" stopIfTrue="1">
      <formula>LEN(TRIM(C16))&gt;0</formula>
    </cfRule>
  </conditionalFormatting>
  <conditionalFormatting sqref="C16">
    <cfRule type="containsBlanks" priority="10" dxfId="12" stopIfTrue="1">
      <formula>LEN(TRIM(C16))=0</formula>
    </cfRule>
  </conditionalFormatting>
  <conditionalFormatting sqref="H16">
    <cfRule type="notContainsBlanks" priority="9" dxfId="19" stopIfTrue="1">
      <formula>LEN(TRIM(H16))&gt;0</formula>
    </cfRule>
  </conditionalFormatting>
  <conditionalFormatting sqref="H16">
    <cfRule type="containsBlanks" priority="8" dxfId="12" stopIfTrue="1">
      <formula>LEN(TRIM(H16))=0</formula>
    </cfRule>
  </conditionalFormatting>
  <conditionalFormatting sqref="G70">
    <cfRule type="expression" priority="5" dxfId="7" stopIfTrue="1">
      <formula>$D$70=""</formula>
    </cfRule>
    <cfRule type="expression" priority="6" dxfId="16" stopIfTrue="1">
      <formula>$D$71&lt;$D$70</formula>
    </cfRule>
    <cfRule type="expression" priority="7" dxfId="15" stopIfTrue="1">
      <formula>$D$71&gt;=$D$70</formula>
    </cfRule>
  </conditionalFormatting>
  <conditionalFormatting sqref="G72:J72">
    <cfRule type="expression" priority="1" dxfId="14" stopIfTrue="1">
      <formula>OR(D71="",D70="N/A")</formula>
    </cfRule>
    <cfRule type="expression" priority="2" dxfId="13" stopIfTrue="1">
      <formula>D72&gt;1</formula>
    </cfRule>
    <cfRule type="expression" priority="3" dxfId="12" stopIfTrue="1">
      <formula>AND(D72&gt;=0.8,D72&lt;1)</formula>
    </cfRule>
    <cfRule type="expression" priority="4" dxfId="30" stopIfTrue="1">
      <formula>D72&lt;0.8</formula>
    </cfRule>
  </conditionalFormatting>
  <dataValidations count="8">
    <dataValidation type="list" allowBlank="1" showInputMessage="1" showErrorMessage="1" sqref="H24 H26">
      <formula1>"N/A,Sight Gauge Zero Mark,Reference Line"</formula1>
    </dataValidation>
    <dataValidation type="list" allowBlank="1" showInputMessage="1" showErrorMessage="1" sqref="C25:D25 I34:J36 I29:J32">
      <formula1>"N/A,Yes,No"</formula1>
    </dataValidation>
    <dataValidation type="list" allowBlank="1" showInputMessage="1" showErrorMessage="1" sqref="H25:J25">
      <formula1>"N/A,Reference Line,Dip Stick Full Mark"</formula1>
    </dataValidation>
    <dataValidation type="list" allowBlank="1" showInputMessage="1" showErrorMessage="1" sqref="C24:D24">
      <formula1>"Battery (Sealed),Battery (Unsealed),Electric Generator,Gasoline,Diesel"</formula1>
    </dataValidation>
    <dataValidation type="list" allowBlank="1" showInputMessage="1" showErrorMessage="1" sqref="C26:D26">
      <formula1>"Yes (Sealed),Yes (Unsealed),No"</formula1>
    </dataValidation>
    <dataValidation type="list" allowBlank="1" showInputMessage="1" showErrorMessage="1" sqref="J27 D33 F33">
      <formula1>"Yes,No"</formula1>
    </dataValidation>
    <dataValidation type="list" allowBlank="1" showInputMessage="1" showErrorMessage="1" promptTitle="Yes or No" prompt="Pick from list" sqref="F20">
      <formula1>"Yes,No"</formula1>
    </dataValidation>
    <dataValidation type="list" allowBlank="1" showInputMessage="1" showErrorMessage="1" promptTitle="Balance Unit" prompt="Pick from list" sqref="J16">
      <formula1>"g,lb"</formula1>
    </dataValidation>
  </dataValidations>
  <printOptions horizontalCentered="1"/>
  <pageMargins left="0.5" right="0.5" top="1.25" bottom="0.75" header="0.75" footer="0.5"/>
  <pageSetup horizontalDpi="300" verticalDpi="300" orientation="portrait" r:id="rId1"/>
  <headerFooter alignWithMargins="0">
    <oddHeader>&amp;L&amp;"Trebuchet MS,Regular"&amp;12Calibration of Weight Carts&amp;R&amp;"Trebuchet MS,Regular"&amp;12WAMRF-010, Rev. 07, 11/6/2014</oddHeader>
    <oddFooter>&amp;L&amp;"Trebuchet MS,Regular"&amp;12&amp;F&amp;R&amp;"Trebuchet MS,Regular"&amp;12&amp;A Worksheet Page &amp;P of &amp;N</oddFooter>
  </headerFooter>
  <rowBreaks count="4" manualBreakCount="4">
    <brk id="22" max="255" man="1"/>
    <brk id="41" max="255" man="1"/>
    <brk id="73" max="255" man="1"/>
    <brk id="96" max="255" man="1"/>
  </rowBreaks>
</worksheet>
</file>

<file path=xl/worksheets/sheet9.xml><?xml version="1.0" encoding="utf-8"?>
<worksheet xmlns="http://schemas.openxmlformats.org/spreadsheetml/2006/main" xmlns:r="http://schemas.openxmlformats.org/officeDocument/2006/relationships">
  <sheetPr>
    <tabColor indexed="21"/>
  </sheetPr>
  <dimension ref="A1:M45"/>
  <sheetViews>
    <sheetView showGridLines="0" zoomScalePageLayoutView="0" workbookViewId="0" topLeftCell="A1">
      <selection activeCell="A1" sqref="A1"/>
    </sheetView>
  </sheetViews>
  <sheetFormatPr defaultColWidth="0" defaultRowHeight="12.75" zeroHeight="1"/>
  <cols>
    <col min="1" max="10" width="13.7109375" style="3" customWidth="1"/>
    <col min="11" max="11" width="1.7109375" style="3" customWidth="1"/>
    <col min="12" max="12" width="9.140625" style="1" hidden="1" customWidth="1"/>
    <col min="13" max="16384" width="9.140625" style="3" hidden="1" customWidth="1"/>
  </cols>
  <sheetData>
    <row r="1" spans="1:11" ht="19.5" customHeight="1" thickBot="1">
      <c r="A1" s="36" t="s">
        <v>62</v>
      </c>
      <c r="B1" s="22"/>
      <c r="C1" s="22"/>
      <c r="D1" s="22"/>
      <c r="E1" s="22"/>
      <c r="F1" s="22"/>
      <c r="G1" s="22"/>
      <c r="H1" s="21"/>
      <c r="I1" s="22"/>
      <c r="J1" s="37">
        <f>IF(RptNo="","","Report Number: "&amp;RptNo)</f>
      </c>
      <c r="K1" s="5"/>
    </row>
    <row r="2" spans="1:11" ht="12" customHeight="1">
      <c r="A2" s="33"/>
      <c r="B2" s="33"/>
      <c r="C2" s="33"/>
      <c r="D2" s="34"/>
      <c r="E2" s="34"/>
      <c r="F2" s="34"/>
      <c r="G2" s="34"/>
      <c r="H2" s="34"/>
      <c r="I2" s="34"/>
      <c r="J2" s="34"/>
      <c r="K2" s="4"/>
    </row>
    <row r="3" spans="1:12" s="2" customFormat="1" ht="19.5" customHeight="1" thickBot="1">
      <c r="A3" s="246" t="s">
        <v>63</v>
      </c>
      <c r="B3" s="243"/>
      <c r="C3" s="244"/>
      <c r="D3" s="245"/>
      <c r="E3" s="245"/>
      <c r="F3" s="245"/>
      <c r="G3" s="245"/>
      <c r="H3" s="245"/>
      <c r="I3" s="21"/>
      <c r="J3" s="21"/>
      <c r="L3" s="1"/>
    </row>
    <row r="4" spans="1:12" s="262" customFormat="1" ht="19.5" customHeight="1" thickBot="1">
      <c r="A4" s="664" t="s">
        <v>395</v>
      </c>
      <c r="B4" s="664"/>
      <c r="C4" s="664"/>
      <c r="D4" s="664"/>
      <c r="E4" s="664"/>
      <c r="F4" s="664"/>
      <c r="G4" s="664"/>
      <c r="H4" s="664"/>
      <c r="I4" s="664"/>
      <c r="J4" s="665"/>
      <c r="L4" s="263"/>
    </row>
    <row r="5" spans="1:12" s="262" customFormat="1" ht="19.5" customHeight="1">
      <c r="A5" s="264"/>
      <c r="B5" s="264"/>
      <c r="C5" s="279"/>
      <c r="D5" s="279"/>
      <c r="E5" s="279"/>
      <c r="F5" s="279"/>
      <c r="G5" s="149" t="s">
        <v>455</v>
      </c>
      <c r="H5" s="667">
        <f>IF(Obs1_4="","",((S+Cs)+(((Obs1_1-Obs1_2)+(Obs1_4-Obs1_3))/2)*((sw+Csw)/(Obs1_3-Obs1_2))+S-(Nx*453.59237))/453.59237)</f>
      </c>
      <c r="I5" s="667"/>
      <c r="J5" s="264" t="s">
        <v>19</v>
      </c>
      <c r="L5" s="263"/>
    </row>
    <row r="6" spans="1:12" s="262" customFormat="1" ht="19.5" customHeight="1">
      <c r="A6" s="264"/>
      <c r="B6" s="264"/>
      <c r="C6" s="279"/>
      <c r="D6" s="279"/>
      <c r="E6" s="279"/>
      <c r="F6" s="279"/>
      <c r="G6" s="149" t="s">
        <v>456</v>
      </c>
      <c r="H6" s="666">
        <f>IF(Obs2_4="","",((S+Cs)+(((Obs2_1-Obs2_2)+(Obs2_4-Obs2_3))/2)*((sw+Csw)/(Obs2_3-Obs2_2))+S-(Nx*453.59237))/453.59237)</f>
      </c>
      <c r="I6" s="666"/>
      <c r="J6" s="264" t="s">
        <v>19</v>
      </c>
      <c r="L6" s="263"/>
    </row>
    <row r="7" spans="1:12" s="262" customFormat="1" ht="19.5" customHeight="1">
      <c r="A7" s="264"/>
      <c r="B7" s="264"/>
      <c r="C7" s="279"/>
      <c r="D7" s="279"/>
      <c r="E7" s="279"/>
      <c r="F7" s="279"/>
      <c r="G7" s="149" t="s">
        <v>457</v>
      </c>
      <c r="H7" s="666">
        <f>IF(Obs3_4="","",((S+Cs)+(((Obs3_1-Obs3_2)+(Obs3_4-Obs3_3))/2)*((sw+Csw)/(Obs3_3-Obs3_2))+S-(Nx*453.59237))/453.59237)</f>
      </c>
      <c r="I7" s="666"/>
      <c r="J7" s="264" t="s">
        <v>19</v>
      </c>
      <c r="L7" s="263"/>
    </row>
    <row r="8" spans="1:12" s="262" customFormat="1" ht="19.5" customHeight="1">
      <c r="A8" s="264"/>
      <c r="B8" s="264"/>
      <c r="C8" s="279"/>
      <c r="D8" s="279"/>
      <c r="E8" s="279"/>
      <c r="F8" s="279"/>
      <c r="G8" s="149"/>
      <c r="H8" s="272"/>
      <c r="I8" s="272"/>
      <c r="J8" s="264"/>
      <c r="L8" s="263"/>
    </row>
    <row r="9" spans="1:12" s="262" customFormat="1" ht="19.5" customHeight="1">
      <c r="A9" s="264"/>
      <c r="B9" s="264"/>
      <c r="C9" s="279"/>
      <c r="D9" s="279"/>
      <c r="E9" s="279"/>
      <c r="F9" s="279"/>
      <c r="G9" s="149" t="s">
        <v>458</v>
      </c>
      <c r="H9" s="666">
        <f>IF(H7="","",AVERAGE(H5:I7))</f>
      </c>
      <c r="I9" s="666"/>
      <c r="J9" s="264" t="s">
        <v>19</v>
      </c>
      <c r="L9" s="263"/>
    </row>
    <row r="10" spans="1:12" s="262" customFormat="1" ht="19.5" customHeight="1">
      <c r="A10" s="264"/>
      <c r="B10" s="264"/>
      <c r="C10" s="279"/>
      <c r="D10" s="279"/>
      <c r="E10" s="279"/>
      <c r="F10" s="279"/>
      <c r="G10" s="149" t="s">
        <v>459</v>
      </c>
      <c r="H10" s="666">
        <f>IF(AF_CMx="","",H9-Nx)</f>
      </c>
      <c r="I10" s="666"/>
      <c r="J10" s="264" t="s">
        <v>19</v>
      </c>
      <c r="L10" s="263"/>
    </row>
    <row r="11" spans="1:12" s="262" customFormat="1" ht="19.5" customHeight="1">
      <c r="A11" s="264"/>
      <c r="B11" s="264"/>
      <c r="C11" s="149"/>
      <c r="D11" s="272"/>
      <c r="E11" s="272"/>
      <c r="F11" s="264"/>
      <c r="G11" s="264"/>
      <c r="H11" s="264"/>
      <c r="I11" s="264"/>
      <c r="J11" s="264"/>
      <c r="L11" s="263"/>
    </row>
    <row r="12" spans="1:12" s="262" customFormat="1" ht="19.5" customHeight="1" thickBot="1">
      <c r="A12" s="672" t="s">
        <v>396</v>
      </c>
      <c r="B12" s="672"/>
      <c r="C12" s="672"/>
      <c r="D12" s="672"/>
      <c r="E12" s="672"/>
      <c r="F12" s="672"/>
      <c r="G12" s="672"/>
      <c r="H12" s="672"/>
      <c r="I12" s="672"/>
      <c r="J12" s="672"/>
      <c r="L12" s="263"/>
    </row>
    <row r="13" spans="1:12" s="262" customFormat="1" ht="19.5" customHeight="1">
      <c r="A13" s="264"/>
      <c r="B13" s="264"/>
      <c r="D13" s="279"/>
      <c r="E13" s="279"/>
      <c r="F13" s="279"/>
      <c r="G13" s="149" t="s">
        <v>460</v>
      </c>
      <c r="H13" s="667">
        <f>IF(Obs4_4="","",((S+Cs)+(((Obs4_1-Obs4_2)+(Obs4_4-Obs4_3))/2)*((sw+Csw)/(Obs4_3-Obs4_2))+S-(Nx*453.59237))/453.59237)</f>
      </c>
      <c r="I13" s="667"/>
      <c r="J13" s="264" t="s">
        <v>19</v>
      </c>
      <c r="L13" s="263"/>
    </row>
    <row r="14" spans="1:12" s="262" customFormat="1" ht="19.5" customHeight="1">
      <c r="A14" s="264"/>
      <c r="B14" s="264"/>
      <c r="D14" s="279"/>
      <c r="E14" s="279"/>
      <c r="F14" s="279"/>
      <c r="G14" s="149" t="s">
        <v>461</v>
      </c>
      <c r="H14" s="666">
        <f>IF(Obs5_4="","",((S+Cs)+(((Obs5_1-Obs5_2)+(Obs5_4-Obs5_3))/2)*((sw+Csw)/(Obs5_3-Obs5_2))+S-(Nx*453.59237))/453.59237)</f>
      </c>
      <c r="I14" s="666"/>
      <c r="J14" s="264" t="s">
        <v>19</v>
      </c>
      <c r="L14" s="263"/>
    </row>
    <row r="15" spans="1:12" s="262" customFormat="1" ht="19.5" customHeight="1">
      <c r="A15" s="264"/>
      <c r="B15" s="264"/>
      <c r="D15" s="279"/>
      <c r="E15" s="279"/>
      <c r="F15" s="279"/>
      <c r="G15" s="149" t="s">
        <v>462</v>
      </c>
      <c r="H15" s="666">
        <f>IF(Obs6_4="","",((S+Cs)+(((Obs6_1-Obs6_2)+(Obs6_4-Obs6_3))/2)*((sw+Csw)/(Obs6_3-Obs6_2))+S-(Nx*453.59237))/453.59237)</f>
      </c>
      <c r="I15" s="666"/>
      <c r="J15" s="264" t="s">
        <v>19</v>
      </c>
      <c r="L15" s="263"/>
    </row>
    <row r="16" spans="1:12" s="262" customFormat="1" ht="19.5" customHeight="1">
      <c r="A16" s="264"/>
      <c r="B16" s="264"/>
      <c r="D16" s="279"/>
      <c r="E16" s="279"/>
      <c r="F16" s="279"/>
      <c r="G16" s="149"/>
      <c r="H16" s="272"/>
      <c r="I16" s="272"/>
      <c r="J16" s="264"/>
      <c r="L16" s="263"/>
    </row>
    <row r="17" spans="1:12" s="262" customFormat="1" ht="19.5" customHeight="1">
      <c r="A17" s="264"/>
      <c r="B17" s="264"/>
      <c r="D17" s="279"/>
      <c r="E17" s="279"/>
      <c r="F17" s="279"/>
      <c r="G17" s="149" t="s">
        <v>463</v>
      </c>
      <c r="H17" s="666">
        <f>IF(H15="","",AVERAGE(H13:I15))</f>
      </c>
      <c r="I17" s="666"/>
      <c r="J17" s="264" t="s">
        <v>19</v>
      </c>
      <c r="L17" s="263"/>
    </row>
    <row r="18" spans="1:12" s="262" customFormat="1" ht="19.5" customHeight="1">
      <c r="A18" s="264"/>
      <c r="B18" s="264"/>
      <c r="D18" s="279"/>
      <c r="E18" s="279"/>
      <c r="F18" s="279"/>
      <c r="G18" s="149" t="s">
        <v>464</v>
      </c>
      <c r="H18" s="666">
        <f>IF(AL_CMx="","",H17-Nx)</f>
      </c>
      <c r="I18" s="666"/>
      <c r="J18" s="264" t="s">
        <v>19</v>
      </c>
      <c r="L18" s="263"/>
    </row>
    <row r="19" spans="1:11" ht="12" customHeight="1">
      <c r="A19" s="33"/>
      <c r="B19" s="33"/>
      <c r="C19" s="33"/>
      <c r="D19" s="34"/>
      <c r="E19" s="34"/>
      <c r="F19" s="34"/>
      <c r="G19" s="34"/>
      <c r="H19" s="34"/>
      <c r="I19" s="34"/>
      <c r="J19" s="34"/>
      <c r="K19" s="4"/>
    </row>
    <row r="20" spans="1:10" ht="18.75" thickBot="1">
      <c r="A20" s="247" t="s">
        <v>27</v>
      </c>
      <c r="B20" s="8"/>
      <c r="C20" s="9"/>
      <c r="D20" s="30"/>
      <c r="E20" s="30"/>
      <c r="F20" s="30"/>
      <c r="G20" s="30"/>
      <c r="H20" s="30"/>
      <c r="I20" s="7"/>
      <c r="J20" s="7"/>
    </row>
    <row r="21" spans="1:10" ht="39.75" customHeight="1">
      <c r="A21" s="668" t="s">
        <v>694</v>
      </c>
      <c r="B21" s="668"/>
      <c r="C21" s="668"/>
      <c r="D21" s="668"/>
      <c r="E21" s="668"/>
      <c r="F21" s="668"/>
      <c r="G21" s="668"/>
      <c r="H21" s="668"/>
      <c r="I21" s="668"/>
      <c r="J21" s="668"/>
    </row>
    <row r="22" spans="2:10" ht="16.5" customHeight="1">
      <c r="B22" s="31"/>
      <c r="C22" s="149" t="str">
        <f>Tol_Class&amp;" Tolerence ("&amp;CHAR(177)&amp;") ="</f>
        <v>NIST HB 105-8 Tolerence (±) =</v>
      </c>
      <c r="D22" s="42">
        <f>IF(Tolerance="","",Tolerance)</f>
      </c>
      <c r="E22" s="150" t="s">
        <v>19</v>
      </c>
      <c r="G22" s="153"/>
      <c r="H22" s="153"/>
      <c r="I22" s="153"/>
      <c r="J22" s="153"/>
    </row>
    <row r="23" spans="1:10" ht="16.5">
      <c r="A23" s="31"/>
      <c r="C23" s="149" t="str">
        <f>"Expanded Uncertainty ("&amp;CHAR(177)&amp;") ="</f>
        <v>Expanded Uncertainty (±) =</v>
      </c>
      <c r="D23" s="278">
        <f>IF(Final_U="","",Final_U/453.59237)</f>
      </c>
      <c r="E23" s="150" t="s">
        <v>19</v>
      </c>
      <c r="F23" s="153"/>
      <c r="G23" s="153"/>
      <c r="H23" s="153"/>
      <c r="I23" s="153"/>
      <c r="J23" s="153"/>
    </row>
    <row r="24" spans="1:12" s="152" customFormat="1" ht="33.75" customHeight="1">
      <c r="A24" s="273"/>
      <c r="B24" s="274"/>
      <c r="C24" s="151" t="s">
        <v>40</v>
      </c>
      <c r="D24" s="276">
        <f>IF(AF_Cx="","",AF_Cx)</f>
      </c>
      <c r="E24" s="150" t="s">
        <v>19</v>
      </c>
      <c r="F24" s="669">
        <f>IF(AF_Cx="","",IF(ABS(D24)&lt;=ABS(D22-D23),"The As Found Conventional Mass Is IN-TOLERANCE","The As Found Conventional Mass Is OUT-OF-TOLERANCE, Adjust And Re-Test"))</f>
      </c>
      <c r="G24" s="669"/>
      <c r="H24" s="669"/>
      <c r="I24" s="669"/>
      <c r="J24" s="669"/>
      <c r="L24" s="15"/>
    </row>
    <row r="25" spans="1:12" s="152" customFormat="1" ht="33.75" customHeight="1">
      <c r="A25" s="269"/>
      <c r="C25" s="151">
        <f>IF(Obs4_1="","","As Left Cx vs 8.0 =")</f>
      </c>
      <c r="D25" s="276">
        <f>IF(Obs4_1="","",AL_Cx)</f>
      </c>
      <c r="E25" s="150">
        <f>IF(Obs4_1="","","lb")</f>
      </c>
      <c r="F25" s="669">
        <f>IF(Obs4_1="","",IF(ABS(D25)&lt;=ABS(D22-D23),"The As Left Conventional Mass Is IN-TOLERANCE","The As Left Conventional Mass Is OUT-OF-TOLERANCE, Adjust And Re-Test"))</f>
      </c>
      <c r="G25" s="669"/>
      <c r="H25" s="669"/>
      <c r="I25" s="669"/>
      <c r="J25" s="669"/>
      <c r="L25" s="15"/>
    </row>
    <row r="26" spans="1:11" ht="12" customHeight="1">
      <c r="A26" s="33"/>
      <c r="B26" s="33"/>
      <c r="C26" s="33"/>
      <c r="D26" s="34"/>
      <c r="E26" s="34"/>
      <c r="F26" s="34"/>
      <c r="G26" s="34"/>
      <c r="H26" s="34"/>
      <c r="I26" s="34"/>
      <c r="J26" s="34"/>
      <c r="K26" s="4"/>
    </row>
    <row r="27" spans="1:10" ht="18.75" thickBot="1">
      <c r="A27" s="247" t="s">
        <v>64</v>
      </c>
      <c r="B27" s="8"/>
      <c r="C27" s="9"/>
      <c r="D27" s="7"/>
      <c r="E27" s="7"/>
      <c r="F27" s="7"/>
      <c r="G27" s="7"/>
      <c r="H27" s="7"/>
      <c r="I27" s="46"/>
      <c r="J27" s="46"/>
    </row>
    <row r="28" spans="1:13" ht="36.75" customHeight="1">
      <c r="A28" s="668" t="s">
        <v>451</v>
      </c>
      <c r="B28" s="668"/>
      <c r="C28" s="668"/>
      <c r="D28" s="668"/>
      <c r="E28" s="668"/>
      <c r="F28" s="668"/>
      <c r="G28" s="668"/>
      <c r="H28" s="668"/>
      <c r="I28" s="668"/>
      <c r="J28" s="668"/>
      <c r="M28" s="48"/>
    </row>
    <row r="29" spans="1:13" ht="19.5" customHeight="1">
      <c r="A29" s="48"/>
      <c r="C29" s="149" t="s">
        <v>448</v>
      </c>
      <c r="D29" s="275">
        <f>IF(R_mean="","",R_mean*3.267/453.59237)</f>
      </c>
      <c r="E29" s="150" t="s">
        <v>19</v>
      </c>
      <c r="G29" s="280"/>
      <c r="H29" s="280"/>
      <c r="I29" s="280"/>
      <c r="J29" s="280"/>
      <c r="L29" s="33"/>
      <c r="M29" s="33"/>
    </row>
    <row r="30" spans="1:10" ht="19.5">
      <c r="A30" s="47"/>
      <c r="C30" s="149" t="s">
        <v>449</v>
      </c>
      <c r="D30" s="275">
        <f>IF(R_mean="","",R_mean*2.512/453.59237)</f>
      </c>
      <c r="E30" s="150" t="s">
        <v>19</v>
      </c>
      <c r="F30" s="280"/>
      <c r="G30" s="280"/>
      <c r="H30" s="280"/>
      <c r="I30" s="280"/>
      <c r="J30" s="280"/>
    </row>
    <row r="31" spans="1:10" ht="33.75" customHeight="1">
      <c r="A31" s="6"/>
      <c r="B31" s="93"/>
      <c r="C31" s="151" t="s">
        <v>450</v>
      </c>
      <c r="D31" s="276">
        <f>IF(H7="","",MAX(H5:H7)-MIN(H5:H7))</f>
      </c>
      <c r="E31" s="150" t="s">
        <v>19</v>
      </c>
      <c r="F31" s="671">
        <f>IF(D31="","",IF(D31&gt;UCL,"The Check Standard Is Outside The Control Limits Investigate The Problem, Then Redo The Measurements",IF(AND(D31&lt;=UCL,D31&gt;WL),"The Check Standard Is In Control, But Higher Than The Warning Limit, Plot The Value On The Control Chart",IF(D31&lt;=WL,"The Standard Deviation Is In Control, Plot The Value On The Control Chart"))))</f>
      </c>
      <c r="G31" s="671"/>
      <c r="H31" s="671"/>
      <c r="I31" s="671"/>
      <c r="J31" s="671"/>
    </row>
    <row r="32" spans="1:11" ht="33.75" customHeight="1">
      <c r="A32" s="6"/>
      <c r="C32" s="151">
        <f>IF(Obs4_1="","","As Left Range of the Measurements =")</f>
      </c>
      <c r="D32" s="276">
        <f>IF(Obs4_1="","",MAX(H13:H15)-MIN(H13:H15))</f>
      </c>
      <c r="E32" s="150">
        <f>IF(Obs4_1="","","lb")</f>
      </c>
      <c r="F32" s="671">
        <f>IF(Obs4_1="","",IF(D32&gt;UCL,"The Check Standard Is Outside The Control Limits Investigate The Problem, Then Redo The Measurements",IF(AND(D32&lt;=UCL,D32&gt;WL),"The Check Standard Is In Control, But Higher Than The Warning Limit, Plot The Value On The Control Chart",IF(D32&lt;=WL,"The Standard Deviation Is In Control, Plot The Value On The Control Chart"))))</f>
      </c>
      <c r="G32" s="671"/>
      <c r="H32" s="671"/>
      <c r="I32" s="671"/>
      <c r="J32" s="671"/>
      <c r="K32" s="93"/>
    </row>
    <row r="33" spans="3:11" ht="12" customHeight="1">
      <c r="C33" s="33"/>
      <c r="D33" s="34"/>
      <c r="E33" s="34"/>
      <c r="F33" s="34"/>
      <c r="G33" s="34"/>
      <c r="H33" s="34"/>
      <c r="I33" s="34"/>
      <c r="J33" s="34"/>
      <c r="K33" s="4"/>
    </row>
    <row r="34" spans="1:12" s="48" customFormat="1" ht="20.25" thickBot="1">
      <c r="A34" s="248" t="s">
        <v>388</v>
      </c>
      <c r="B34" s="7"/>
      <c r="C34" s="11"/>
      <c r="D34" s="7"/>
      <c r="E34" s="7"/>
      <c r="F34" s="7"/>
      <c r="G34" s="7"/>
      <c r="H34" s="7"/>
      <c r="I34" s="7"/>
      <c r="J34" s="7"/>
      <c r="L34" s="1"/>
    </row>
    <row r="35" spans="1:10" s="13" customFormat="1" ht="30.75" customHeight="1">
      <c r="A35" s="668" t="s">
        <v>360</v>
      </c>
      <c r="B35" s="668"/>
      <c r="C35" s="668"/>
      <c r="D35" s="668"/>
      <c r="E35" s="668"/>
      <c r="F35" s="668"/>
      <c r="G35" s="668"/>
      <c r="H35" s="668"/>
      <c r="I35" s="668"/>
      <c r="J35" s="668"/>
    </row>
    <row r="36" spans="1:7" ht="16.5">
      <c r="A36" s="249"/>
      <c r="B36" s="249"/>
      <c r="C36" s="251"/>
      <c r="D36" s="250" t="s">
        <v>35</v>
      </c>
      <c r="E36" s="670">
        <f>IF(Nx="","",Nx)</f>
      </c>
      <c r="F36" s="670"/>
      <c r="G36" s="277" t="s">
        <v>19</v>
      </c>
    </row>
    <row r="37" spans="1:7" ht="16.5">
      <c r="A37" s="249"/>
      <c r="B37" s="249"/>
      <c r="C37" s="251"/>
      <c r="D37" s="250" t="s">
        <v>79</v>
      </c>
      <c r="E37" s="670">
        <f>IF(AF_CMx="","",FIXED(AF_CMx,2-1-INT(LOG10(ABS(Final_U/453.59237))),TRUE))</f>
      </c>
      <c r="F37" s="670"/>
      <c r="G37" s="277" t="s">
        <v>19</v>
      </c>
    </row>
    <row r="38" spans="1:7" ht="16.5">
      <c r="A38" s="249"/>
      <c r="B38" s="249"/>
      <c r="C38" s="251"/>
      <c r="D38" s="250" t="s">
        <v>80</v>
      </c>
      <c r="E38" s="670">
        <f>IF(AF_Cx="","",FIXED(AF_Cx,2-1-INT(LOG10(ABS(Final_U/453.59237))),TRUE))</f>
      </c>
      <c r="F38" s="670"/>
      <c r="G38" s="277" t="s">
        <v>19</v>
      </c>
    </row>
    <row r="39" spans="1:7" ht="16.5">
      <c r="A39" s="249"/>
      <c r="B39" s="249"/>
      <c r="C39" s="251"/>
      <c r="D39" s="250" t="s">
        <v>81</v>
      </c>
      <c r="E39" s="670">
        <f>IF(AL_CMx="",E37,FIXED(AL_CMx,2-1-INT(LOG10(ABS(Final_U/453.59237))),TRUE))</f>
      </c>
      <c r="F39" s="670"/>
      <c r="G39" s="277" t="s">
        <v>19</v>
      </c>
    </row>
    <row r="40" spans="1:7" ht="16.5">
      <c r="A40" s="249"/>
      <c r="B40" s="249"/>
      <c r="C40" s="251"/>
      <c r="D40" s="250" t="s">
        <v>82</v>
      </c>
      <c r="E40" s="670">
        <f>IF(AL_Cx="",E38,FIXED(AL_Cx,2-1-INT(LOG10(ABS(Final_U/453.59237))),TRUE))</f>
      </c>
      <c r="F40" s="670"/>
      <c r="G40" s="277" t="s">
        <v>19</v>
      </c>
    </row>
    <row r="41" spans="1:7" ht="19.5">
      <c r="A41" s="249"/>
      <c r="B41" s="249"/>
      <c r="C41" s="251"/>
      <c r="D41" s="250" t="s">
        <v>688</v>
      </c>
      <c r="E41" s="670">
        <f>IF(Final_Veff="","",Final_Veff)</f>
      </c>
      <c r="F41" s="670"/>
      <c r="G41" s="277"/>
    </row>
    <row r="42" spans="1:7" ht="16.5">
      <c r="A42" s="249"/>
      <c r="B42" s="249"/>
      <c r="C42" s="251"/>
      <c r="D42" s="250" t="s">
        <v>384</v>
      </c>
      <c r="E42" s="670">
        <f>IF(Final_k="","",Final_k)</f>
      </c>
      <c r="F42" s="670"/>
      <c r="G42" s="277"/>
    </row>
    <row r="43" spans="1:7" ht="19.5">
      <c r="A43" s="249"/>
      <c r="B43" s="249"/>
      <c r="C43" s="251"/>
      <c r="D43" s="250" t="s">
        <v>386</v>
      </c>
      <c r="E43" s="670">
        <f>IF(Final_U="","",FIXED(Final_U/453.59237,2-1-INT(LOG10(ABS(Final_U/453.59237))),TRUE))</f>
      </c>
      <c r="F43" s="670"/>
      <c r="G43" s="277" t="s">
        <v>19</v>
      </c>
    </row>
    <row r="44" spans="1:7" ht="16.5">
      <c r="A44" s="249"/>
      <c r="B44" s="249"/>
      <c r="C44" s="251"/>
      <c r="D44" s="250" t="str">
        <f>Tol_Class&amp;" Tolerence ("&amp;CHAR(177)&amp;") ="</f>
        <v>NIST HB 105-8 Tolerence (±) =</v>
      </c>
      <c r="E44" s="670">
        <f>IF(Tolerance="","",Tolerance)</f>
      </c>
      <c r="F44" s="670"/>
      <c r="G44" s="277" t="s">
        <v>19</v>
      </c>
    </row>
    <row r="45" spans="4:12" s="48" customFormat="1" ht="16.5">
      <c r="D45" s="149" t="s">
        <v>372</v>
      </c>
      <c r="E45" s="670">
        <f>IF(Px="","",Px)</f>
      </c>
      <c r="F45" s="670"/>
      <c r="G45" s="256" t="s">
        <v>74</v>
      </c>
      <c r="L45" s="1"/>
    </row>
    <row r="46" ht="15.75"/>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sheetData>
  <sheetProtection password="83AF" sheet="1" objects="1" scenarios="1" selectLockedCells="1" selectUnlockedCells="1"/>
  <mergeCells count="29">
    <mergeCell ref="E44:F44"/>
    <mergeCell ref="A28:J28"/>
    <mergeCell ref="F32:J32"/>
    <mergeCell ref="H18:I18"/>
    <mergeCell ref="H10:I10"/>
    <mergeCell ref="F25:J25"/>
    <mergeCell ref="E41:F41"/>
    <mergeCell ref="A12:J12"/>
    <mergeCell ref="H13:I13"/>
    <mergeCell ref="E45:F45"/>
    <mergeCell ref="A35:J35"/>
    <mergeCell ref="F31:J31"/>
    <mergeCell ref="E39:F39"/>
    <mergeCell ref="E36:F36"/>
    <mergeCell ref="E38:F38"/>
    <mergeCell ref="E43:F43"/>
    <mergeCell ref="E37:F37"/>
    <mergeCell ref="E42:F42"/>
    <mergeCell ref="E40:F40"/>
    <mergeCell ref="A4:J4"/>
    <mergeCell ref="H14:I14"/>
    <mergeCell ref="H15:I15"/>
    <mergeCell ref="H5:I5"/>
    <mergeCell ref="A21:J21"/>
    <mergeCell ref="F24:J24"/>
    <mergeCell ref="H17:I17"/>
    <mergeCell ref="H6:I6"/>
    <mergeCell ref="H9:I9"/>
    <mergeCell ref="H7:I7"/>
  </mergeCells>
  <conditionalFormatting sqref="A32">
    <cfRule type="expression" priority="12" dxfId="2" stopIfTrue="1">
      <formula>VLOOKUP(Process,Process.Table,2)=1</formula>
    </cfRule>
  </conditionalFormatting>
  <conditionalFormatting sqref="F31">
    <cfRule type="expression" priority="1" dxfId="10" stopIfTrue="1">
      <formula>$D$31=""</formula>
    </cfRule>
    <cfRule type="expression" priority="3" dxfId="6" stopIfTrue="1">
      <formula>AND(D31&lt;=UCL,D31&gt;WL)</formula>
    </cfRule>
    <cfRule type="expression" priority="6" dxfId="1" stopIfTrue="1">
      <formula>D31&lt;=WL</formula>
    </cfRule>
    <cfRule type="expression" priority="7" dxfId="0" stopIfTrue="1">
      <formula>D31&gt;UCL</formula>
    </cfRule>
  </conditionalFormatting>
  <conditionalFormatting sqref="F32">
    <cfRule type="expression" priority="2" dxfId="7" stopIfTrue="1">
      <formula>Obs4_1=""</formula>
    </cfRule>
    <cfRule type="expression" priority="4" dxfId="6" stopIfTrue="1">
      <formula>AND(D32&lt;=UCL,D32&gt;WL)</formula>
    </cfRule>
    <cfRule type="expression" priority="5" dxfId="1" stopIfTrue="1">
      <formula>D32&lt;=WL</formula>
    </cfRule>
    <cfRule type="expression" priority="80" dxfId="0" stopIfTrue="1">
      <formula>D32&gt;UCL</formula>
    </cfRule>
  </conditionalFormatting>
  <conditionalFormatting sqref="F24">
    <cfRule type="expression" priority="10" dxfId="1" stopIfTrue="1">
      <formula>ABS($D$24)&lt;=ABS($D$22-$D$23)</formula>
    </cfRule>
    <cfRule type="expression" priority="11" dxfId="0" stopIfTrue="1">
      <formula>ABS($D$24)&gt;ABS($D$22-$D$23)</formula>
    </cfRule>
  </conditionalFormatting>
  <conditionalFormatting sqref="F25">
    <cfRule type="expression" priority="8" dxfId="2" stopIfTrue="1">
      <formula>Obs4_1=""</formula>
    </cfRule>
    <cfRule type="expression" priority="9" dxfId="1" stopIfTrue="1">
      <formula>ABS($D$25)&lt;=ABS($D$22-$D$23)</formula>
    </cfRule>
    <cfRule type="expression" priority="114" dxfId="0" stopIfTrue="1">
      <formula>ABS($D$25)&gt;ABS($D$22-$D$23)</formula>
    </cfRule>
  </conditionalFormatting>
  <printOptions horizontalCentered="1"/>
  <pageMargins left="0.25" right="0.25" top="1.25" bottom="0.75" header="0.75" footer="0.5"/>
  <pageSetup horizontalDpi="300" verticalDpi="300" orientation="landscape" scale="84" r:id="rId1"/>
  <headerFooter scaleWithDoc="0" alignWithMargins="0">
    <oddHeader>&amp;L&amp;"Trebuchet MS,Regular"&amp;12Calibration of Weight Carts&amp;R&amp;"Trebuchet MS,Regular"&amp;12WAMRF-010, Rev. 07, 11/6/2014</oddHeader>
    <oddFooter>&amp;L&amp;"Trebuchet MS,Regular"&amp;12&amp;F&amp;R&amp;"Trebuchet MS,Regular"&amp;12&amp;A Worksheet Page &amp;P of &amp;N</oddFooter>
  </headerFooter>
  <rowBreaks count="2" manualBreakCount="2">
    <brk id="19" max="255" man="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WSDA Metrology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WAMRF-008</dc:title>
  <dc:subject>NIST HB 145, SOP's 3, 4, &amp; 7</dc:subject>
  <dc:creator>Dan Wright</dc:creator>
  <cp:keywords/>
  <dc:description/>
  <cp:lastModifiedBy>Isabel Chavez</cp:lastModifiedBy>
  <cp:lastPrinted>2014-12-08T17:00:56Z</cp:lastPrinted>
  <dcterms:created xsi:type="dcterms:W3CDTF">1999-07-21T15:47:59Z</dcterms:created>
  <dcterms:modified xsi:type="dcterms:W3CDTF">2015-04-17T16:17:24Z</dcterms:modified>
  <cp:category/>
  <cp:version/>
  <cp:contentType/>
  <cp:contentStatus/>
</cp:coreProperties>
</file>